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480" yWindow="210" windowWidth="11340" windowHeight="6345" activeTab="0"/>
  </bookViews>
  <sheets>
    <sheet name="Formular" sheetId="1" r:id="rId1"/>
    <sheet name="Eingabe" sheetId="2" r:id="rId2"/>
    <sheet name="Hilfe_Ausmalen" sheetId="3" r:id="rId3"/>
  </sheets>
  <definedNames/>
  <calcPr fullCalcOnLoad="1"/>
</workbook>
</file>

<file path=xl/sharedStrings.xml><?xml version="1.0" encoding="utf-8"?>
<sst xmlns="http://schemas.openxmlformats.org/spreadsheetml/2006/main" count="130" uniqueCount="65">
  <si>
    <t>Titel</t>
  </si>
  <si>
    <t>Titel rechts</t>
  </si>
  <si>
    <t>Datum und Zeit</t>
  </si>
  <si>
    <t>Ausrichter</t>
  </si>
  <si>
    <t>Nr</t>
  </si>
  <si>
    <t>Name</t>
  </si>
  <si>
    <t>Verein</t>
  </si>
  <si>
    <t>GD</t>
  </si>
  <si>
    <t>Kurzname</t>
  </si>
  <si>
    <t>Los</t>
  </si>
  <si>
    <t>GD-Format</t>
  </si>
  <si>
    <t>Faktor</t>
  </si>
  <si>
    <t>Nr.</t>
  </si>
  <si>
    <t>Nr1</t>
  </si>
  <si>
    <t>Nr2</t>
  </si>
  <si>
    <t>Name1</t>
  </si>
  <si>
    <t>Name2</t>
  </si>
  <si>
    <t>B</t>
  </si>
  <si>
    <t>A</t>
  </si>
  <si>
    <t>HS</t>
  </si>
  <si>
    <t>Key1</t>
  </si>
  <si>
    <t>Key2</t>
  </si>
  <si>
    <t>Key</t>
  </si>
  <si>
    <t>D</t>
  </si>
  <si>
    <t>Punkte</t>
  </si>
  <si>
    <t>Punkte1</t>
  </si>
  <si>
    <t>Punkte2</t>
  </si>
  <si>
    <t>BED bisher</t>
  </si>
  <si>
    <t>Pkt.</t>
  </si>
  <si>
    <t>BED</t>
  </si>
  <si>
    <t>Mpkt.</t>
  </si>
  <si>
    <t>Sort</t>
  </si>
  <si>
    <t>Pl.</t>
  </si>
  <si>
    <t>Wer</t>
  </si>
  <si>
    <t>Disziplin</t>
  </si>
  <si>
    <t>Datum</t>
  </si>
  <si>
    <t>Bälle</t>
  </si>
  <si>
    <t>Aufn.</t>
  </si>
  <si>
    <t>Platz</t>
  </si>
  <si>
    <t>V+GD</t>
  </si>
  <si>
    <t>Alle Eingaben (außer den Mitteilungen des Turnierleiters und der Spieler) nur auf dieser Seite!</t>
  </si>
  <si>
    <t>Nachkommastellen</t>
  </si>
  <si>
    <t>Bemerkungen:</t>
  </si>
  <si>
    <t>Turnierleiter:</t>
  </si>
  <si>
    <t>Unterschrift</t>
  </si>
  <si>
    <t>Disziplin/Klasse/Distanz</t>
  </si>
  <si>
    <t>Saison</t>
  </si>
  <si>
    <t>Billardverband Niederrhein e.V.</t>
  </si>
  <si>
    <t>2009 / 2010</t>
  </si>
  <si>
    <t>Ramge,Michael</t>
  </si>
  <si>
    <t>BC Hilden</t>
  </si>
  <si>
    <t>Freie Partie U15 150/20</t>
  </si>
  <si>
    <t>BC Hilden 1935</t>
  </si>
  <si>
    <t>Löwe , Tom</t>
  </si>
  <si>
    <t>Assmann, Andreas</t>
  </si>
  <si>
    <t>Krieger, Hagen</t>
  </si>
  <si>
    <t>Gehrig, Tobias</t>
  </si>
  <si>
    <t>BF Loberich</t>
  </si>
  <si>
    <t>GW Asberg</t>
  </si>
  <si>
    <t>BC Essen Ost</t>
  </si>
  <si>
    <t>Ramge</t>
  </si>
  <si>
    <t>Löwe</t>
  </si>
  <si>
    <t>Assmann</t>
  </si>
  <si>
    <t>Krieger</t>
  </si>
  <si>
    <t>Gehrig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</si>
</sst>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"/>
    <numFmt numFmtId="175" formatCode="0.0000"/>
    <numFmt numFmtId="176" formatCode="[$-407]dddd\,\ d\.\ mmmm\ yyyy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right" vertical="top"/>
      <protection/>
    </xf>
    <xf numFmtId="2" fontId="0" fillId="0" borderId="15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center" vertical="center"/>
      <protection/>
    </xf>
    <xf numFmtId="14" fontId="1" fillId="0" borderId="8" xfId="0" applyNumberFormat="1" applyFont="1" applyBorder="1" applyAlignment="1" applyProtection="1">
      <alignment horizontal="left"/>
      <protection/>
    </xf>
    <xf numFmtId="0" fontId="0" fillId="0" borderId="8" xfId="0" applyBorder="1" applyAlignment="1">
      <alignment horizontal="left"/>
    </xf>
    <xf numFmtId="14" fontId="0" fillId="0" borderId="21" xfId="0" applyNumberForma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/>
    </xf>
    <xf numFmtId="14" fontId="0" fillId="2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142875</xdr:rowOff>
    </xdr:from>
    <xdr:to>
      <xdr:col>4</xdr:col>
      <xdr:colOff>85725</xdr:colOff>
      <xdr:row>8</xdr:row>
      <xdr:rowOff>85725</xdr:rowOff>
    </xdr:to>
    <xdr:sp>
      <xdr:nvSpPr>
        <xdr:cNvPr id="1" name="Ell12"/>
        <xdr:cNvSpPr>
          <a:spLocks/>
        </xdr:cNvSpPr>
      </xdr:nvSpPr>
      <xdr:spPr>
        <a:xfrm>
          <a:off x="223837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142875</xdr:rowOff>
    </xdr:from>
    <xdr:to>
      <xdr:col>6</xdr:col>
      <xdr:colOff>85725</xdr:colOff>
      <xdr:row>8</xdr:row>
      <xdr:rowOff>85725</xdr:rowOff>
    </xdr:to>
    <xdr:sp>
      <xdr:nvSpPr>
        <xdr:cNvPr id="2" name="Ell13"/>
        <xdr:cNvSpPr>
          <a:spLocks/>
        </xdr:cNvSpPr>
      </xdr:nvSpPr>
      <xdr:spPr>
        <a:xfrm>
          <a:off x="290512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142875</xdr:rowOff>
    </xdr:from>
    <xdr:to>
      <xdr:col>8</xdr:col>
      <xdr:colOff>85725</xdr:colOff>
      <xdr:row>8</xdr:row>
      <xdr:rowOff>85725</xdr:rowOff>
    </xdr:to>
    <xdr:sp>
      <xdr:nvSpPr>
        <xdr:cNvPr id="3" name="Ell14"/>
        <xdr:cNvSpPr>
          <a:spLocks/>
        </xdr:cNvSpPr>
      </xdr:nvSpPr>
      <xdr:spPr>
        <a:xfrm>
          <a:off x="357187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142875</xdr:rowOff>
    </xdr:from>
    <xdr:to>
      <xdr:col>10</xdr:col>
      <xdr:colOff>85725</xdr:colOff>
      <xdr:row>8</xdr:row>
      <xdr:rowOff>85725</xdr:rowOff>
    </xdr:to>
    <xdr:sp>
      <xdr:nvSpPr>
        <xdr:cNvPr id="4" name="Ell15"/>
        <xdr:cNvSpPr>
          <a:spLocks/>
        </xdr:cNvSpPr>
      </xdr:nvSpPr>
      <xdr:spPr>
        <a:xfrm>
          <a:off x="4238625" y="15525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8</xdr:row>
      <xdr:rowOff>85725</xdr:rowOff>
    </xdr:to>
    <xdr:sp>
      <xdr:nvSpPr>
        <xdr:cNvPr id="5" name="Ell16"/>
        <xdr:cNvSpPr>
          <a:spLocks/>
        </xdr:cNvSpPr>
      </xdr:nvSpPr>
      <xdr:spPr>
        <a:xfrm>
          <a:off x="4657725" y="15525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8</xdr:row>
      <xdr:rowOff>85725</xdr:rowOff>
    </xdr:to>
    <xdr:sp>
      <xdr:nvSpPr>
        <xdr:cNvPr id="6" name="Ell17"/>
        <xdr:cNvSpPr>
          <a:spLocks/>
        </xdr:cNvSpPr>
      </xdr:nvSpPr>
      <xdr:spPr>
        <a:xfrm>
          <a:off x="4657725" y="15525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142875</xdr:rowOff>
    </xdr:from>
    <xdr:to>
      <xdr:col>2</xdr:col>
      <xdr:colOff>85725</xdr:colOff>
      <xdr:row>10</xdr:row>
      <xdr:rowOff>85725</xdr:rowOff>
    </xdr:to>
    <xdr:sp>
      <xdr:nvSpPr>
        <xdr:cNvPr id="7" name="Ell21"/>
        <xdr:cNvSpPr>
          <a:spLocks/>
        </xdr:cNvSpPr>
      </xdr:nvSpPr>
      <xdr:spPr>
        <a:xfrm>
          <a:off x="1571625" y="20097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</xdr:row>
      <xdr:rowOff>142875</xdr:rowOff>
    </xdr:from>
    <xdr:to>
      <xdr:col>6</xdr:col>
      <xdr:colOff>85725</xdr:colOff>
      <xdr:row>10</xdr:row>
      <xdr:rowOff>85725</xdr:rowOff>
    </xdr:to>
    <xdr:sp>
      <xdr:nvSpPr>
        <xdr:cNvPr id="8" name="Ell23"/>
        <xdr:cNvSpPr>
          <a:spLocks/>
        </xdr:cNvSpPr>
      </xdr:nvSpPr>
      <xdr:spPr>
        <a:xfrm>
          <a:off x="2905125" y="20097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9</xdr:row>
      <xdr:rowOff>142875</xdr:rowOff>
    </xdr:from>
    <xdr:to>
      <xdr:col>8</xdr:col>
      <xdr:colOff>85725</xdr:colOff>
      <xdr:row>10</xdr:row>
      <xdr:rowOff>85725</xdr:rowOff>
    </xdr:to>
    <xdr:sp>
      <xdr:nvSpPr>
        <xdr:cNvPr id="9" name="Ell24"/>
        <xdr:cNvSpPr>
          <a:spLocks/>
        </xdr:cNvSpPr>
      </xdr:nvSpPr>
      <xdr:spPr>
        <a:xfrm>
          <a:off x="3571875" y="20097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9</xdr:row>
      <xdr:rowOff>142875</xdr:rowOff>
    </xdr:from>
    <xdr:to>
      <xdr:col>10</xdr:col>
      <xdr:colOff>85725</xdr:colOff>
      <xdr:row>10</xdr:row>
      <xdr:rowOff>85725</xdr:rowOff>
    </xdr:to>
    <xdr:sp>
      <xdr:nvSpPr>
        <xdr:cNvPr id="10" name="Ell25"/>
        <xdr:cNvSpPr>
          <a:spLocks/>
        </xdr:cNvSpPr>
      </xdr:nvSpPr>
      <xdr:spPr>
        <a:xfrm>
          <a:off x="4238625" y="20097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142875</xdr:rowOff>
    </xdr:from>
    <xdr:to>
      <xdr:col>11</xdr:col>
      <xdr:colOff>0</xdr:colOff>
      <xdr:row>10</xdr:row>
      <xdr:rowOff>85725</xdr:rowOff>
    </xdr:to>
    <xdr:sp>
      <xdr:nvSpPr>
        <xdr:cNvPr id="11" name="Ell26"/>
        <xdr:cNvSpPr>
          <a:spLocks/>
        </xdr:cNvSpPr>
      </xdr:nvSpPr>
      <xdr:spPr>
        <a:xfrm>
          <a:off x="4657725" y="20097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142875</xdr:rowOff>
    </xdr:from>
    <xdr:to>
      <xdr:col>11</xdr:col>
      <xdr:colOff>0</xdr:colOff>
      <xdr:row>10</xdr:row>
      <xdr:rowOff>85725</xdr:rowOff>
    </xdr:to>
    <xdr:sp>
      <xdr:nvSpPr>
        <xdr:cNvPr id="12" name="Ell27"/>
        <xdr:cNvSpPr>
          <a:spLocks/>
        </xdr:cNvSpPr>
      </xdr:nvSpPr>
      <xdr:spPr>
        <a:xfrm>
          <a:off x="4657725" y="20097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142875</xdr:rowOff>
    </xdr:from>
    <xdr:to>
      <xdr:col>2</xdr:col>
      <xdr:colOff>85725</xdr:colOff>
      <xdr:row>12</xdr:row>
      <xdr:rowOff>85725</xdr:rowOff>
    </xdr:to>
    <xdr:sp>
      <xdr:nvSpPr>
        <xdr:cNvPr id="13" name="Ell31"/>
        <xdr:cNvSpPr>
          <a:spLocks/>
        </xdr:cNvSpPr>
      </xdr:nvSpPr>
      <xdr:spPr>
        <a:xfrm>
          <a:off x="1571625" y="24669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142875</xdr:rowOff>
    </xdr:from>
    <xdr:to>
      <xdr:col>4</xdr:col>
      <xdr:colOff>85725</xdr:colOff>
      <xdr:row>12</xdr:row>
      <xdr:rowOff>85725</xdr:rowOff>
    </xdr:to>
    <xdr:sp>
      <xdr:nvSpPr>
        <xdr:cNvPr id="14" name="Ell32"/>
        <xdr:cNvSpPr>
          <a:spLocks/>
        </xdr:cNvSpPr>
      </xdr:nvSpPr>
      <xdr:spPr>
        <a:xfrm>
          <a:off x="2238375" y="24669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142875</xdr:rowOff>
    </xdr:from>
    <xdr:to>
      <xdr:col>8</xdr:col>
      <xdr:colOff>85725</xdr:colOff>
      <xdr:row>12</xdr:row>
      <xdr:rowOff>85725</xdr:rowOff>
    </xdr:to>
    <xdr:sp>
      <xdr:nvSpPr>
        <xdr:cNvPr id="15" name="Ell34"/>
        <xdr:cNvSpPr>
          <a:spLocks/>
        </xdr:cNvSpPr>
      </xdr:nvSpPr>
      <xdr:spPr>
        <a:xfrm>
          <a:off x="3571875" y="24669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142875</xdr:rowOff>
    </xdr:from>
    <xdr:to>
      <xdr:col>10</xdr:col>
      <xdr:colOff>85725</xdr:colOff>
      <xdr:row>12</xdr:row>
      <xdr:rowOff>85725</xdr:rowOff>
    </xdr:to>
    <xdr:sp>
      <xdr:nvSpPr>
        <xdr:cNvPr id="16" name="Ell35"/>
        <xdr:cNvSpPr>
          <a:spLocks/>
        </xdr:cNvSpPr>
      </xdr:nvSpPr>
      <xdr:spPr>
        <a:xfrm>
          <a:off x="4238625" y="24669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12</xdr:row>
      <xdr:rowOff>85725</xdr:rowOff>
    </xdr:to>
    <xdr:sp>
      <xdr:nvSpPr>
        <xdr:cNvPr id="17" name="Ell36"/>
        <xdr:cNvSpPr>
          <a:spLocks/>
        </xdr:cNvSpPr>
      </xdr:nvSpPr>
      <xdr:spPr>
        <a:xfrm>
          <a:off x="4657725" y="24669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12</xdr:row>
      <xdr:rowOff>85725</xdr:rowOff>
    </xdr:to>
    <xdr:sp>
      <xdr:nvSpPr>
        <xdr:cNvPr id="18" name="Ell37"/>
        <xdr:cNvSpPr>
          <a:spLocks/>
        </xdr:cNvSpPr>
      </xdr:nvSpPr>
      <xdr:spPr>
        <a:xfrm>
          <a:off x="4657725" y="24669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142875</xdr:rowOff>
    </xdr:from>
    <xdr:to>
      <xdr:col>2</xdr:col>
      <xdr:colOff>85725</xdr:colOff>
      <xdr:row>14</xdr:row>
      <xdr:rowOff>85725</xdr:rowOff>
    </xdr:to>
    <xdr:sp>
      <xdr:nvSpPr>
        <xdr:cNvPr id="19" name="Ell41"/>
        <xdr:cNvSpPr>
          <a:spLocks/>
        </xdr:cNvSpPr>
      </xdr:nvSpPr>
      <xdr:spPr>
        <a:xfrm>
          <a:off x="1571625" y="29241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142875</xdr:rowOff>
    </xdr:from>
    <xdr:to>
      <xdr:col>4</xdr:col>
      <xdr:colOff>85725</xdr:colOff>
      <xdr:row>14</xdr:row>
      <xdr:rowOff>85725</xdr:rowOff>
    </xdr:to>
    <xdr:sp>
      <xdr:nvSpPr>
        <xdr:cNvPr id="20" name="Ell42"/>
        <xdr:cNvSpPr>
          <a:spLocks/>
        </xdr:cNvSpPr>
      </xdr:nvSpPr>
      <xdr:spPr>
        <a:xfrm>
          <a:off x="2238375" y="29241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142875</xdr:rowOff>
    </xdr:from>
    <xdr:to>
      <xdr:col>6</xdr:col>
      <xdr:colOff>85725</xdr:colOff>
      <xdr:row>14</xdr:row>
      <xdr:rowOff>85725</xdr:rowOff>
    </xdr:to>
    <xdr:sp>
      <xdr:nvSpPr>
        <xdr:cNvPr id="21" name="Ell43"/>
        <xdr:cNvSpPr>
          <a:spLocks/>
        </xdr:cNvSpPr>
      </xdr:nvSpPr>
      <xdr:spPr>
        <a:xfrm>
          <a:off x="2905125" y="29241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142875</xdr:rowOff>
    </xdr:from>
    <xdr:to>
      <xdr:col>10</xdr:col>
      <xdr:colOff>85725</xdr:colOff>
      <xdr:row>14</xdr:row>
      <xdr:rowOff>85725</xdr:rowOff>
    </xdr:to>
    <xdr:sp>
      <xdr:nvSpPr>
        <xdr:cNvPr id="22" name="Ell45"/>
        <xdr:cNvSpPr>
          <a:spLocks/>
        </xdr:cNvSpPr>
      </xdr:nvSpPr>
      <xdr:spPr>
        <a:xfrm>
          <a:off x="4238625" y="29241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11</xdr:col>
      <xdr:colOff>0</xdr:colOff>
      <xdr:row>14</xdr:row>
      <xdr:rowOff>85725</xdr:rowOff>
    </xdr:to>
    <xdr:sp>
      <xdr:nvSpPr>
        <xdr:cNvPr id="23" name="Ell46"/>
        <xdr:cNvSpPr>
          <a:spLocks/>
        </xdr:cNvSpPr>
      </xdr:nvSpPr>
      <xdr:spPr>
        <a:xfrm>
          <a:off x="4657725" y="29241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11</xdr:col>
      <xdr:colOff>0</xdr:colOff>
      <xdr:row>14</xdr:row>
      <xdr:rowOff>85725</xdr:rowOff>
    </xdr:to>
    <xdr:sp>
      <xdr:nvSpPr>
        <xdr:cNvPr id="24" name="Ell47"/>
        <xdr:cNvSpPr>
          <a:spLocks/>
        </xdr:cNvSpPr>
      </xdr:nvSpPr>
      <xdr:spPr>
        <a:xfrm>
          <a:off x="4657725" y="29241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142875</xdr:rowOff>
    </xdr:from>
    <xdr:to>
      <xdr:col>2</xdr:col>
      <xdr:colOff>85725</xdr:colOff>
      <xdr:row>16</xdr:row>
      <xdr:rowOff>85725</xdr:rowOff>
    </xdr:to>
    <xdr:sp>
      <xdr:nvSpPr>
        <xdr:cNvPr id="25" name="Ell51"/>
        <xdr:cNvSpPr>
          <a:spLocks/>
        </xdr:cNvSpPr>
      </xdr:nvSpPr>
      <xdr:spPr>
        <a:xfrm>
          <a:off x="1571625" y="33813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142875</xdr:rowOff>
    </xdr:from>
    <xdr:to>
      <xdr:col>4</xdr:col>
      <xdr:colOff>85725</xdr:colOff>
      <xdr:row>16</xdr:row>
      <xdr:rowOff>85725</xdr:rowOff>
    </xdr:to>
    <xdr:sp>
      <xdr:nvSpPr>
        <xdr:cNvPr id="26" name="Ell52"/>
        <xdr:cNvSpPr>
          <a:spLocks/>
        </xdr:cNvSpPr>
      </xdr:nvSpPr>
      <xdr:spPr>
        <a:xfrm>
          <a:off x="2238375" y="33813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142875</xdr:rowOff>
    </xdr:from>
    <xdr:to>
      <xdr:col>6</xdr:col>
      <xdr:colOff>85725</xdr:colOff>
      <xdr:row>16</xdr:row>
      <xdr:rowOff>85725</xdr:rowOff>
    </xdr:to>
    <xdr:sp>
      <xdr:nvSpPr>
        <xdr:cNvPr id="27" name="Ell53"/>
        <xdr:cNvSpPr>
          <a:spLocks/>
        </xdr:cNvSpPr>
      </xdr:nvSpPr>
      <xdr:spPr>
        <a:xfrm>
          <a:off x="2905125" y="338137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15</xdr:row>
      <xdr:rowOff>142875</xdr:rowOff>
    </xdr:from>
    <xdr:to>
      <xdr:col>8</xdr:col>
      <xdr:colOff>85725</xdr:colOff>
      <xdr:row>16</xdr:row>
      <xdr:rowOff>85725</xdr:rowOff>
    </xdr:to>
    <xdr:sp>
      <xdr:nvSpPr>
        <xdr:cNvPr id="28" name="Ell54"/>
        <xdr:cNvSpPr>
          <a:spLocks/>
        </xdr:cNvSpPr>
      </xdr:nvSpPr>
      <xdr:spPr>
        <a:xfrm>
          <a:off x="3571875" y="33813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142875</xdr:rowOff>
    </xdr:from>
    <xdr:to>
      <xdr:col>11</xdr:col>
      <xdr:colOff>0</xdr:colOff>
      <xdr:row>16</xdr:row>
      <xdr:rowOff>85725</xdr:rowOff>
    </xdr:to>
    <xdr:sp>
      <xdr:nvSpPr>
        <xdr:cNvPr id="29" name="Ell56"/>
        <xdr:cNvSpPr>
          <a:spLocks/>
        </xdr:cNvSpPr>
      </xdr:nvSpPr>
      <xdr:spPr>
        <a:xfrm>
          <a:off x="4657725" y="3381375"/>
          <a:ext cx="0" cy="171450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142875</xdr:rowOff>
    </xdr:from>
    <xdr:to>
      <xdr:col>11</xdr:col>
      <xdr:colOff>0</xdr:colOff>
      <xdr:row>16</xdr:row>
      <xdr:rowOff>85725</xdr:rowOff>
    </xdr:to>
    <xdr:sp>
      <xdr:nvSpPr>
        <xdr:cNvPr id="30" name="Ell57"/>
        <xdr:cNvSpPr>
          <a:spLocks/>
        </xdr:cNvSpPr>
      </xdr:nvSpPr>
      <xdr:spPr>
        <a:xfrm>
          <a:off x="4657725" y="33813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85725</xdr:colOff>
      <xdr:row>17</xdr:row>
      <xdr:rowOff>0</xdr:rowOff>
    </xdr:to>
    <xdr:sp>
      <xdr:nvSpPr>
        <xdr:cNvPr id="31" name="Ell61"/>
        <xdr:cNvSpPr>
          <a:spLocks/>
        </xdr:cNvSpPr>
      </xdr:nvSpPr>
      <xdr:spPr>
        <a:xfrm>
          <a:off x="157162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Ell62"/>
        <xdr:cNvSpPr>
          <a:spLocks/>
        </xdr:cNvSpPr>
      </xdr:nvSpPr>
      <xdr:spPr>
        <a:xfrm>
          <a:off x="223837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0</xdr:rowOff>
    </xdr:from>
    <xdr:to>
      <xdr:col>6</xdr:col>
      <xdr:colOff>85725</xdr:colOff>
      <xdr:row>17</xdr:row>
      <xdr:rowOff>0</xdr:rowOff>
    </xdr:to>
    <xdr:sp>
      <xdr:nvSpPr>
        <xdr:cNvPr id="33" name="Ell63"/>
        <xdr:cNvSpPr>
          <a:spLocks/>
        </xdr:cNvSpPr>
      </xdr:nvSpPr>
      <xdr:spPr>
        <a:xfrm>
          <a:off x="290512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0</xdr:rowOff>
    </xdr:from>
    <xdr:to>
      <xdr:col>8</xdr:col>
      <xdr:colOff>85725</xdr:colOff>
      <xdr:row>17</xdr:row>
      <xdr:rowOff>0</xdr:rowOff>
    </xdr:to>
    <xdr:sp>
      <xdr:nvSpPr>
        <xdr:cNvPr id="34" name="Ell64"/>
        <xdr:cNvSpPr>
          <a:spLocks/>
        </xdr:cNvSpPr>
      </xdr:nvSpPr>
      <xdr:spPr>
        <a:xfrm>
          <a:off x="357187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0</xdr:rowOff>
    </xdr:from>
    <xdr:to>
      <xdr:col>10</xdr:col>
      <xdr:colOff>85725</xdr:colOff>
      <xdr:row>17</xdr:row>
      <xdr:rowOff>0</xdr:rowOff>
    </xdr:to>
    <xdr:sp>
      <xdr:nvSpPr>
        <xdr:cNvPr id="35" name="Ell65"/>
        <xdr:cNvSpPr>
          <a:spLocks/>
        </xdr:cNvSpPr>
      </xdr:nvSpPr>
      <xdr:spPr>
        <a:xfrm>
          <a:off x="4238625" y="3695700"/>
          <a:ext cx="171450" cy="0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Ell67"/>
        <xdr:cNvSpPr>
          <a:spLocks/>
        </xdr:cNvSpPr>
      </xdr:nvSpPr>
      <xdr:spPr>
        <a:xfrm>
          <a:off x="4657725" y="3695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85725</xdr:colOff>
      <xdr:row>17</xdr:row>
      <xdr:rowOff>0</xdr:rowOff>
    </xdr:to>
    <xdr:sp>
      <xdr:nvSpPr>
        <xdr:cNvPr id="37" name="Ell71"/>
        <xdr:cNvSpPr>
          <a:spLocks/>
        </xdr:cNvSpPr>
      </xdr:nvSpPr>
      <xdr:spPr>
        <a:xfrm>
          <a:off x="15716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8" name="Ell72"/>
        <xdr:cNvSpPr>
          <a:spLocks/>
        </xdr:cNvSpPr>
      </xdr:nvSpPr>
      <xdr:spPr>
        <a:xfrm>
          <a:off x="223837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0</xdr:rowOff>
    </xdr:from>
    <xdr:to>
      <xdr:col>6</xdr:col>
      <xdr:colOff>85725</xdr:colOff>
      <xdr:row>17</xdr:row>
      <xdr:rowOff>0</xdr:rowOff>
    </xdr:to>
    <xdr:sp>
      <xdr:nvSpPr>
        <xdr:cNvPr id="39" name="Ell73"/>
        <xdr:cNvSpPr>
          <a:spLocks/>
        </xdr:cNvSpPr>
      </xdr:nvSpPr>
      <xdr:spPr>
        <a:xfrm>
          <a:off x="29051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0</xdr:rowOff>
    </xdr:from>
    <xdr:to>
      <xdr:col>8</xdr:col>
      <xdr:colOff>85725</xdr:colOff>
      <xdr:row>17</xdr:row>
      <xdr:rowOff>0</xdr:rowOff>
    </xdr:to>
    <xdr:sp>
      <xdr:nvSpPr>
        <xdr:cNvPr id="40" name="Ell74"/>
        <xdr:cNvSpPr>
          <a:spLocks/>
        </xdr:cNvSpPr>
      </xdr:nvSpPr>
      <xdr:spPr>
        <a:xfrm>
          <a:off x="357187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0</xdr:rowOff>
    </xdr:from>
    <xdr:to>
      <xdr:col>10</xdr:col>
      <xdr:colOff>85725</xdr:colOff>
      <xdr:row>17</xdr:row>
      <xdr:rowOff>0</xdr:rowOff>
    </xdr:to>
    <xdr:sp>
      <xdr:nvSpPr>
        <xdr:cNvPr id="41" name="Ell75"/>
        <xdr:cNvSpPr>
          <a:spLocks/>
        </xdr:cNvSpPr>
      </xdr:nvSpPr>
      <xdr:spPr>
        <a:xfrm>
          <a:off x="42386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42" name="Ell76"/>
        <xdr:cNvSpPr>
          <a:spLocks/>
        </xdr:cNvSpPr>
      </xdr:nvSpPr>
      <xdr:spPr>
        <a:xfrm>
          <a:off x="4657725" y="36957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12" width="5.00390625" style="0" customWidth="1"/>
    <col min="13" max="14" width="6.7109375" style="0" customWidth="1"/>
    <col min="15" max="15" width="5.00390625" style="0" customWidth="1"/>
    <col min="16" max="19" width="5.8515625" style="0" customWidth="1"/>
  </cols>
  <sheetData>
    <row r="1" spans="1:19" ht="15.75" thickBot="1">
      <c r="A1" s="10" t="str">
        <f>Eingabe!C3</f>
        <v>Billardverband Niederrhein e.V.</v>
      </c>
      <c r="B1" s="11"/>
      <c r="C1" s="11"/>
      <c r="D1" s="11"/>
      <c r="E1" s="11"/>
      <c r="F1" s="11"/>
      <c r="G1" s="11"/>
      <c r="H1" s="11"/>
      <c r="I1" s="11"/>
      <c r="J1" s="11"/>
      <c r="K1" s="11" t="str">
        <f>Eingabe!C4</f>
        <v>Saison</v>
      </c>
      <c r="L1" s="11"/>
      <c r="M1" s="11" t="str">
        <f>Eingabe!E4</f>
        <v>2009 / 2010</v>
      </c>
      <c r="N1" s="11"/>
      <c r="O1" s="12"/>
      <c r="P1" s="1"/>
      <c r="Q1" s="1"/>
      <c r="R1" s="1"/>
      <c r="S1" s="1"/>
    </row>
    <row r="2" spans="1:19" ht="15">
      <c r="A2" s="13" t="s">
        <v>34</v>
      </c>
      <c r="B2" s="14" t="str">
        <f>Eingabe!C5</f>
        <v>Freie Partie U15 150/20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"/>
      <c r="Q2" s="1"/>
      <c r="R2" s="1"/>
      <c r="S2" s="1"/>
    </row>
    <row r="3" spans="1:19" ht="15">
      <c r="A3" s="16" t="s">
        <v>35</v>
      </c>
      <c r="B3" s="44">
        <v>40146</v>
      </c>
      <c r="C3" s="45"/>
      <c r="D3" s="45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"/>
      <c r="Q3" s="1"/>
      <c r="R3" s="1"/>
      <c r="S3" s="1"/>
    </row>
    <row r="4" spans="1:19" ht="15.75" thickBot="1">
      <c r="A4" s="19" t="s">
        <v>3</v>
      </c>
      <c r="B4" s="20" t="str">
        <f>Eingabe!C7</f>
        <v>BC Hilden 1935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1"/>
      <c r="Q4" s="1"/>
      <c r="R4" s="1"/>
      <c r="S4" s="1"/>
    </row>
    <row r="5" spans="1:19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5" ht="18" customHeight="1">
      <c r="A6" s="32" t="s">
        <v>5</v>
      </c>
      <c r="B6" s="68" t="str">
        <f>Eingabe!E15</f>
        <v>Ramge</v>
      </c>
      <c r="C6" s="69"/>
      <c r="D6" s="68" t="str">
        <f>Eingabe!E16</f>
        <v>Löwe</v>
      </c>
      <c r="E6" s="69"/>
      <c r="F6" s="68" t="str">
        <f>Eingabe!E17</f>
        <v>Assmann</v>
      </c>
      <c r="G6" s="69"/>
      <c r="H6" s="68" t="str">
        <f>Eingabe!E18</f>
        <v>Krieger</v>
      </c>
      <c r="I6" s="69"/>
      <c r="J6" s="68" t="str">
        <f>Eingabe!E19</f>
        <v>Gehrig</v>
      </c>
      <c r="K6" s="69"/>
      <c r="L6" s="48" t="s">
        <v>28</v>
      </c>
      <c r="M6" s="23" t="s">
        <v>36</v>
      </c>
      <c r="N6" s="24" t="s">
        <v>37</v>
      </c>
      <c r="O6" s="50" t="s">
        <v>19</v>
      </c>
    </row>
    <row r="7" spans="1:15" ht="18" customHeight="1" thickBot="1">
      <c r="A7" s="33" t="s">
        <v>6</v>
      </c>
      <c r="B7" s="70"/>
      <c r="C7" s="71"/>
      <c r="D7" s="70"/>
      <c r="E7" s="71"/>
      <c r="F7" s="70"/>
      <c r="G7" s="71"/>
      <c r="H7" s="70"/>
      <c r="I7" s="71"/>
      <c r="J7" s="70"/>
      <c r="K7" s="71"/>
      <c r="L7" s="49"/>
      <c r="M7" s="25" t="s">
        <v>7</v>
      </c>
      <c r="N7" s="26" t="s">
        <v>29</v>
      </c>
      <c r="O7" s="51"/>
    </row>
    <row r="8" spans="1:15" ht="18" customHeight="1">
      <c r="A8" s="35" t="str">
        <f>Eingabe!B15</f>
        <v>Ramge,Michael</v>
      </c>
      <c r="B8" s="64">
        <f>Eingabe!$N$15</f>
        <v>1</v>
      </c>
      <c r="C8" s="65"/>
      <c r="D8" s="36">
        <f>Eingabe!D108</f>
        <v>91</v>
      </c>
      <c r="E8" s="37">
        <f>Eingabe!E108</f>
        <v>20</v>
      </c>
      <c r="F8" s="36">
        <f>Eingabe!F108</f>
        <v>83</v>
      </c>
      <c r="G8" s="37">
        <f>Eingabe!G108</f>
        <v>20</v>
      </c>
      <c r="H8" s="36">
        <f>Eingabe!H108</f>
        <v>58</v>
      </c>
      <c r="I8" s="37">
        <f>Eingabe!I108</f>
        <v>20</v>
      </c>
      <c r="J8" s="36">
        <f>Eingabe!J108</f>
        <v>46</v>
      </c>
      <c r="K8" s="37">
        <f>Eingabe!K108</f>
        <v>20</v>
      </c>
      <c r="L8" s="52">
        <f>Eingabe!H15</f>
        <v>8</v>
      </c>
      <c r="M8" s="40">
        <f>Eingabe!I15</f>
        <v>278</v>
      </c>
      <c r="N8" s="41">
        <f>Eingabe!J15</f>
        <v>80</v>
      </c>
      <c r="O8" s="52">
        <f>Eingabe!L15</f>
        <v>22</v>
      </c>
    </row>
    <row r="9" spans="1:15" ht="18" customHeight="1" thickBot="1">
      <c r="A9" s="34" t="str">
        <f>Eingabe!G15</f>
        <v>BC Hilden - 1,66</v>
      </c>
      <c r="B9" s="66"/>
      <c r="C9" s="67"/>
      <c r="D9" s="38" t="str">
        <f>Eingabe!D109</f>
        <v>4,55</v>
      </c>
      <c r="E9" s="39">
        <f>Eingabe!E109</f>
        <v>13</v>
      </c>
      <c r="F9" s="38" t="str">
        <f>Eingabe!F109</f>
        <v>4,15</v>
      </c>
      <c r="G9" s="39">
        <f>Eingabe!G109</f>
        <v>22</v>
      </c>
      <c r="H9" s="38" t="str">
        <f>Eingabe!H109</f>
        <v>2,90</v>
      </c>
      <c r="I9" s="39">
        <f>Eingabe!I109</f>
        <v>16</v>
      </c>
      <c r="J9" s="38" t="str">
        <f>Eingabe!J109</f>
        <v>2,30</v>
      </c>
      <c r="K9" s="39">
        <f>Eingabe!K109</f>
        <v>6</v>
      </c>
      <c r="L9" s="53"/>
      <c r="M9" s="42" t="str">
        <f>Eingabe!K15</f>
        <v>3,47</v>
      </c>
      <c r="N9" s="43" t="str">
        <f>Eingabe!M15</f>
        <v>4,55</v>
      </c>
      <c r="O9" s="53"/>
    </row>
    <row r="10" spans="1:15" ht="18" customHeight="1">
      <c r="A10" s="35" t="str">
        <f>Eingabe!B16</f>
        <v>Löwe , Tom</v>
      </c>
      <c r="B10" s="36">
        <f>Eingabe!B110</f>
        <v>62</v>
      </c>
      <c r="C10" s="37">
        <f>Eingabe!C110</f>
        <v>20</v>
      </c>
      <c r="D10" s="60">
        <f>Eingabe!$N$16</f>
        <v>2</v>
      </c>
      <c r="E10" s="61"/>
      <c r="F10" s="36">
        <f>Eingabe!F110</f>
        <v>77</v>
      </c>
      <c r="G10" s="37">
        <f>Eingabe!G110</f>
        <v>20</v>
      </c>
      <c r="H10" s="36">
        <f>Eingabe!H110</f>
        <v>44</v>
      </c>
      <c r="I10" s="37">
        <f>Eingabe!I110</f>
        <v>20</v>
      </c>
      <c r="J10" s="36">
        <f>Eingabe!J110</f>
        <v>119</v>
      </c>
      <c r="K10" s="37">
        <f>Eingabe!K110</f>
        <v>20</v>
      </c>
      <c r="L10" s="52">
        <f>Eingabe!H16</f>
        <v>6</v>
      </c>
      <c r="M10" s="40">
        <f>Eingabe!I16</f>
        <v>302</v>
      </c>
      <c r="N10" s="41">
        <f>Eingabe!J16</f>
        <v>80</v>
      </c>
      <c r="O10" s="52">
        <f>Eingabe!L16</f>
        <v>27</v>
      </c>
    </row>
    <row r="11" spans="1:15" ht="18" customHeight="1" thickBot="1">
      <c r="A11" s="34" t="str">
        <f>Eingabe!G16</f>
        <v>BF Loberich - 1,63</v>
      </c>
      <c r="B11" s="38" t="str">
        <f>Eingabe!B111</f>
        <v>3,10</v>
      </c>
      <c r="C11" s="39">
        <f>Eingabe!C111</f>
        <v>17</v>
      </c>
      <c r="D11" s="62"/>
      <c r="E11" s="63"/>
      <c r="F11" s="38" t="str">
        <f>Eingabe!F111</f>
        <v>3,85</v>
      </c>
      <c r="G11" s="39">
        <f>Eingabe!G111</f>
        <v>16</v>
      </c>
      <c r="H11" s="38" t="str">
        <f>Eingabe!H111</f>
        <v>2,20</v>
      </c>
      <c r="I11" s="39">
        <f>Eingabe!I111</f>
        <v>9</v>
      </c>
      <c r="J11" s="38" t="str">
        <f>Eingabe!J111</f>
        <v>5,95</v>
      </c>
      <c r="K11" s="39">
        <f>Eingabe!K111</f>
        <v>27</v>
      </c>
      <c r="L11" s="53"/>
      <c r="M11" s="42" t="str">
        <f>Eingabe!K16</f>
        <v>3,77</v>
      </c>
      <c r="N11" s="43" t="str">
        <f>Eingabe!M16</f>
        <v>5,95</v>
      </c>
      <c r="O11" s="53"/>
    </row>
    <row r="12" spans="1:15" ht="18" customHeight="1">
      <c r="A12" s="35" t="str">
        <f>Eingabe!B17</f>
        <v>Assmann, Andreas</v>
      </c>
      <c r="B12" s="36">
        <f>Eingabe!B112</f>
        <v>40</v>
      </c>
      <c r="C12" s="37">
        <f>Eingabe!C112</f>
        <v>20</v>
      </c>
      <c r="D12" s="36">
        <f>Eingabe!D112</f>
        <v>54</v>
      </c>
      <c r="E12" s="37">
        <f>Eingabe!E112</f>
        <v>20</v>
      </c>
      <c r="F12" s="60">
        <f>Eingabe!$N$17</f>
        <v>3</v>
      </c>
      <c r="G12" s="61"/>
      <c r="H12" s="36">
        <f>Eingabe!H112</f>
        <v>37</v>
      </c>
      <c r="I12" s="37">
        <f>Eingabe!I112</f>
        <v>20</v>
      </c>
      <c r="J12" s="36">
        <f>Eingabe!J112</f>
        <v>74</v>
      </c>
      <c r="K12" s="37">
        <f>Eingabe!K112</f>
        <v>20</v>
      </c>
      <c r="L12" s="52">
        <f>Eingabe!H17</f>
        <v>4</v>
      </c>
      <c r="M12" s="40">
        <f>Eingabe!I17</f>
        <v>205</v>
      </c>
      <c r="N12" s="41">
        <f>Eingabe!J17</f>
        <v>80</v>
      </c>
      <c r="O12" s="52">
        <f>Eingabe!L17</f>
        <v>16</v>
      </c>
    </row>
    <row r="13" spans="1:15" ht="18" customHeight="1" thickBot="1">
      <c r="A13" s="34" t="str">
        <f>Eingabe!G17</f>
        <v>BC Hilden - 1,57</v>
      </c>
      <c r="B13" s="38" t="str">
        <f>Eingabe!B113</f>
        <v>2,00</v>
      </c>
      <c r="C13" s="39">
        <f>Eingabe!C113</f>
        <v>7</v>
      </c>
      <c r="D13" s="38" t="str">
        <f>Eingabe!D113</f>
        <v>2,70</v>
      </c>
      <c r="E13" s="39">
        <f>Eingabe!E113</f>
        <v>7</v>
      </c>
      <c r="F13" s="62"/>
      <c r="G13" s="63"/>
      <c r="H13" s="38" t="str">
        <f>Eingabe!H113</f>
        <v>1,85</v>
      </c>
      <c r="I13" s="39">
        <f>Eingabe!I113</f>
        <v>7</v>
      </c>
      <c r="J13" s="38" t="str">
        <f>Eingabe!J113</f>
        <v>3,70</v>
      </c>
      <c r="K13" s="39">
        <f>Eingabe!K113</f>
        <v>16</v>
      </c>
      <c r="L13" s="53"/>
      <c r="M13" s="42" t="str">
        <f>Eingabe!K17</f>
        <v>2,56</v>
      </c>
      <c r="N13" s="43" t="str">
        <f>Eingabe!M17</f>
        <v>3,70</v>
      </c>
      <c r="O13" s="53"/>
    </row>
    <row r="14" spans="1:15" ht="18" customHeight="1">
      <c r="A14" s="35" t="str">
        <f>Eingabe!B18</f>
        <v>Krieger, Hagen</v>
      </c>
      <c r="B14" s="36">
        <f>Eingabe!B114</f>
        <v>6</v>
      </c>
      <c r="C14" s="37">
        <f>Eingabe!C114</f>
        <v>20</v>
      </c>
      <c r="D14" s="36">
        <f>Eingabe!D114</f>
        <v>5</v>
      </c>
      <c r="E14" s="37">
        <f>Eingabe!E114</f>
        <v>20</v>
      </c>
      <c r="F14" s="36">
        <f>Eingabe!F114</f>
        <v>6</v>
      </c>
      <c r="G14" s="37">
        <f>Eingabe!G114</f>
        <v>20</v>
      </c>
      <c r="H14" s="60">
        <f>Eingabe!$N$18</f>
        <v>5</v>
      </c>
      <c r="I14" s="61"/>
      <c r="J14" s="36">
        <f>Eingabe!J114</f>
        <v>3</v>
      </c>
      <c r="K14" s="37">
        <f>Eingabe!K114</f>
        <v>20</v>
      </c>
      <c r="L14" s="52">
        <f>Eingabe!H18</f>
        <v>0</v>
      </c>
      <c r="M14" s="40">
        <f>Eingabe!I18</f>
        <v>20</v>
      </c>
      <c r="N14" s="41">
        <f>Eingabe!J18</f>
        <v>80</v>
      </c>
      <c r="O14" s="52">
        <f>Eingabe!L18</f>
        <v>3</v>
      </c>
    </row>
    <row r="15" spans="1:15" ht="18" customHeight="1" thickBot="1">
      <c r="A15" s="34" t="str">
        <f>Eingabe!G18</f>
        <v>GW Asberg - 0,77</v>
      </c>
      <c r="B15" s="38" t="str">
        <f>Eingabe!B115</f>
        <v>0,30</v>
      </c>
      <c r="C15" s="39">
        <f>Eingabe!C115</f>
        <v>3</v>
      </c>
      <c r="D15" s="38" t="str">
        <f>Eingabe!D115</f>
        <v>0,25</v>
      </c>
      <c r="E15" s="39">
        <f>Eingabe!E115</f>
        <v>1</v>
      </c>
      <c r="F15" s="38" t="str">
        <f>Eingabe!F115</f>
        <v>0,30</v>
      </c>
      <c r="G15" s="39">
        <f>Eingabe!G115</f>
        <v>2</v>
      </c>
      <c r="H15" s="62"/>
      <c r="I15" s="63"/>
      <c r="J15" s="38" t="str">
        <f>Eingabe!J115</f>
        <v>0,15</v>
      </c>
      <c r="K15" s="39">
        <f>Eingabe!K115</f>
        <v>1</v>
      </c>
      <c r="L15" s="53"/>
      <c r="M15" s="42" t="str">
        <f>Eingabe!K18</f>
        <v>0,25</v>
      </c>
      <c r="N15" s="43" t="str">
        <f>Eingabe!M18</f>
        <v>-</v>
      </c>
      <c r="O15" s="53"/>
    </row>
    <row r="16" spans="1:15" ht="18" customHeight="1">
      <c r="A16" s="35" t="str">
        <f>Eingabe!B19</f>
        <v>Gehrig, Tobias</v>
      </c>
      <c r="B16" s="36">
        <f>Eingabe!B116</f>
        <v>18</v>
      </c>
      <c r="C16" s="37">
        <f>Eingabe!C116</f>
        <v>20</v>
      </c>
      <c r="D16" s="36">
        <f>Eingabe!D116</f>
        <v>22</v>
      </c>
      <c r="E16" s="37">
        <f>Eingabe!E116</f>
        <v>20</v>
      </c>
      <c r="F16" s="36">
        <f>Eingabe!F116</f>
        <v>18</v>
      </c>
      <c r="G16" s="37">
        <f>Eingabe!G116</f>
        <v>20</v>
      </c>
      <c r="H16" s="36">
        <f>Eingabe!H116</f>
        <v>21</v>
      </c>
      <c r="I16" s="37">
        <f>Eingabe!I116</f>
        <v>20</v>
      </c>
      <c r="J16" s="60">
        <f>Eingabe!$N$19</f>
        <v>4</v>
      </c>
      <c r="K16" s="61"/>
      <c r="L16" s="52">
        <f>Eingabe!H19</f>
        <v>2</v>
      </c>
      <c r="M16" s="40">
        <f>Eingabe!I19</f>
        <v>79</v>
      </c>
      <c r="N16" s="41">
        <f>Eingabe!J19</f>
        <v>80</v>
      </c>
      <c r="O16" s="52">
        <f>Eingabe!L19</f>
        <v>5</v>
      </c>
    </row>
    <row r="17" spans="1:15" ht="18" customHeight="1" thickBot="1">
      <c r="A17" s="34" t="str">
        <f>Eingabe!G19</f>
        <v>BC Essen Ost - 0,60</v>
      </c>
      <c r="B17" s="38" t="str">
        <f>Eingabe!B117</f>
        <v>0,90</v>
      </c>
      <c r="C17" s="39">
        <f>Eingabe!C117</f>
        <v>4</v>
      </c>
      <c r="D17" s="38" t="str">
        <f>Eingabe!D117</f>
        <v>1,10</v>
      </c>
      <c r="E17" s="39">
        <f>Eingabe!E117</f>
        <v>5</v>
      </c>
      <c r="F17" s="38" t="str">
        <f>Eingabe!F117</f>
        <v>0,90</v>
      </c>
      <c r="G17" s="39">
        <f>Eingabe!G117</f>
        <v>5</v>
      </c>
      <c r="H17" s="38" t="str">
        <f>Eingabe!H117</f>
        <v>1,05</v>
      </c>
      <c r="I17" s="39">
        <f>Eingabe!I117</f>
        <v>4</v>
      </c>
      <c r="J17" s="62"/>
      <c r="K17" s="63"/>
      <c r="L17" s="53"/>
      <c r="M17" s="42" t="str">
        <f>Eingabe!K19</f>
        <v>0,98</v>
      </c>
      <c r="N17" s="43" t="str">
        <f>Eingabe!M19</f>
        <v>1,05</v>
      </c>
      <c r="O17" s="53"/>
    </row>
    <row r="18" spans="1:19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5" ht="12.75">
      <c r="A19" s="29" t="s">
        <v>42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ht="12.75">
      <c r="A20" s="30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ht="18" customHeight="1" thickBot="1">
      <c r="A21" s="31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9:15" ht="12.75">
      <c r="I22" s="1"/>
      <c r="J22" s="1"/>
      <c r="K22" s="1"/>
      <c r="L22" s="1"/>
      <c r="M22" s="1"/>
      <c r="N22" s="1"/>
      <c r="O22" s="1"/>
    </row>
    <row r="23" spans="1:15" ht="12.75">
      <c r="A23" t="s">
        <v>43</v>
      </c>
      <c r="C23" s="46"/>
      <c r="D23" s="46"/>
      <c r="E23" s="47"/>
      <c r="F23" s="47"/>
      <c r="G23" s="47"/>
      <c r="H23" s="47"/>
      <c r="I23" s="1"/>
      <c r="J23" s="1"/>
      <c r="K23" s="1"/>
      <c r="L23" s="1"/>
      <c r="M23" s="1"/>
      <c r="N23" s="1"/>
      <c r="O23" s="1"/>
    </row>
    <row r="24" spans="3:5" ht="12.75">
      <c r="C24" t="s">
        <v>35</v>
      </c>
      <c r="E24" t="s">
        <v>44</v>
      </c>
    </row>
  </sheetData>
  <sheetProtection sheet="1" objects="1" scenarios="1"/>
  <mergeCells count="26">
    <mergeCell ref="O8:O9"/>
    <mergeCell ref="D10:E11"/>
    <mergeCell ref="O10:O11"/>
    <mergeCell ref="H6:I7"/>
    <mergeCell ref="J6:K7"/>
    <mergeCell ref="D6:E7"/>
    <mergeCell ref="F6:G7"/>
    <mergeCell ref="O6:O7"/>
    <mergeCell ref="O16:O17"/>
    <mergeCell ref="L10:L11"/>
    <mergeCell ref="B19:O21"/>
    <mergeCell ref="L14:L15"/>
    <mergeCell ref="L16:L17"/>
    <mergeCell ref="O12:O13"/>
    <mergeCell ref="O14:O15"/>
    <mergeCell ref="F12:G13"/>
    <mergeCell ref="H14:I15"/>
    <mergeCell ref="B3:D3"/>
    <mergeCell ref="C23:D23"/>
    <mergeCell ref="E23:H23"/>
    <mergeCell ref="L6:L7"/>
    <mergeCell ref="J16:K17"/>
    <mergeCell ref="L12:L13"/>
    <mergeCell ref="B8:C9"/>
    <mergeCell ref="L8:L9"/>
    <mergeCell ref="B6:C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117"/>
  <sheetViews>
    <sheetView workbookViewId="0" topLeftCell="A1">
      <selection activeCell="M32" sqref="M32"/>
    </sheetView>
  </sheetViews>
  <sheetFormatPr defaultColWidth="11.421875" defaultRowHeight="12.75"/>
  <cols>
    <col min="1" max="1" width="3.421875" style="0" bestFit="1" customWidth="1"/>
    <col min="2" max="2" width="24.7109375" style="0" customWidth="1"/>
    <col min="3" max="3" width="6.28125" style="0" bestFit="1" customWidth="1"/>
    <col min="4" max="4" width="4.7109375" style="0" bestFit="1" customWidth="1"/>
    <col min="5" max="5" width="9.421875" style="0" bestFit="1" customWidth="1"/>
    <col min="6" max="6" width="4.00390625" style="0" bestFit="1" customWidth="1"/>
    <col min="7" max="7" width="10.57421875" style="0" customWidth="1"/>
    <col min="8" max="8" width="7.8515625" style="0" bestFit="1" customWidth="1"/>
    <col min="9" max="9" width="10.421875" style="0" bestFit="1" customWidth="1"/>
    <col min="10" max="10" width="5.7109375" style="0" bestFit="1" customWidth="1"/>
    <col min="11" max="12" width="5.57421875" style="0" bestFit="1" customWidth="1"/>
    <col min="13" max="13" width="6.00390625" style="0" bestFit="1" customWidth="1"/>
    <col min="14" max="14" width="5.57421875" style="0" bestFit="1" customWidth="1"/>
    <col min="15" max="15" width="7.8515625" style="0" bestFit="1" customWidth="1"/>
    <col min="16" max="17" width="3.8515625" style="0" bestFit="1" customWidth="1"/>
  </cols>
  <sheetData>
    <row r="1" ht="12.75">
      <c r="A1" s="8" t="s">
        <v>40</v>
      </c>
    </row>
    <row r="3" spans="2:7" ht="12.75">
      <c r="B3" t="s">
        <v>0</v>
      </c>
      <c r="C3" s="74" t="s">
        <v>47</v>
      </c>
      <c r="D3" s="74"/>
      <c r="E3" s="74"/>
      <c r="F3" s="74"/>
      <c r="G3" s="74"/>
    </row>
    <row r="4" spans="2:7" ht="12.75">
      <c r="B4" t="s">
        <v>1</v>
      </c>
      <c r="C4" s="74" t="s">
        <v>46</v>
      </c>
      <c r="D4" s="74"/>
      <c r="E4" s="72" t="s">
        <v>48</v>
      </c>
      <c r="F4" s="72"/>
      <c r="G4" s="72"/>
    </row>
    <row r="5" spans="2:7" ht="12.75">
      <c r="B5" t="s">
        <v>45</v>
      </c>
      <c r="C5" s="72" t="s">
        <v>51</v>
      </c>
      <c r="D5" s="73"/>
      <c r="E5" s="73"/>
      <c r="F5" s="73"/>
      <c r="G5" s="73"/>
    </row>
    <row r="6" spans="2:7" ht="12.75">
      <c r="B6" t="s">
        <v>2</v>
      </c>
      <c r="C6" s="75">
        <v>40146</v>
      </c>
      <c r="D6" s="73"/>
      <c r="E6" s="73"/>
      <c r="F6" s="73"/>
      <c r="G6" s="73"/>
    </row>
    <row r="7" spans="2:7" ht="12.75">
      <c r="B7" t="s">
        <v>3</v>
      </c>
      <c r="C7" s="72" t="s">
        <v>52</v>
      </c>
      <c r="D7" s="73"/>
      <c r="E7" s="73"/>
      <c r="F7" s="73"/>
      <c r="G7" s="73"/>
    </row>
    <row r="8" spans="2:7" ht="12.75">
      <c r="B8" s="28"/>
      <c r="C8" s="27"/>
      <c r="D8" s="27"/>
      <c r="E8" s="27"/>
      <c r="F8" s="27"/>
      <c r="G8" s="27"/>
    </row>
    <row r="9" spans="2:7" ht="12.75">
      <c r="B9" t="s">
        <v>41</v>
      </c>
      <c r="C9" s="72">
        <v>2</v>
      </c>
      <c r="D9" s="73"/>
      <c r="E9" s="73"/>
      <c r="F9" s="73"/>
      <c r="G9" s="73"/>
    </row>
    <row r="10" ht="12.75">
      <c r="C10" s="3"/>
    </row>
    <row r="11" spans="2:3" ht="12.75">
      <c r="B11" s="1" t="s">
        <v>10</v>
      </c>
      <c r="C11" s="2" t="str">
        <f>IF(CONCATENATE(1/10,"")="0.1",IF(C12=100,"0.00","0.000"),IF(C12=100,"0,00","0,000"))</f>
        <v>0,00</v>
      </c>
    </row>
    <row r="12" spans="2:3" ht="12.75">
      <c r="B12" t="s">
        <v>11</v>
      </c>
      <c r="C12">
        <f>10^C9</f>
        <v>100</v>
      </c>
    </row>
    <row r="14" spans="1:14" ht="12.75">
      <c r="A14" t="s">
        <v>4</v>
      </c>
      <c r="B14" t="s">
        <v>5</v>
      </c>
      <c r="C14" t="s">
        <v>6</v>
      </c>
      <c r="D14" t="s">
        <v>7</v>
      </c>
      <c r="E14" t="s">
        <v>8</v>
      </c>
      <c r="F14" t="s">
        <v>9</v>
      </c>
      <c r="G14" t="s">
        <v>39</v>
      </c>
      <c r="H14" t="str">
        <f aca="true" t="shared" si="0" ref="H14:M14">D68</f>
        <v>Pkt.</v>
      </c>
      <c r="I14" t="str">
        <f t="shared" si="0"/>
        <v>B</v>
      </c>
      <c r="J14" t="str">
        <f t="shared" si="0"/>
        <v>A</v>
      </c>
      <c r="K14" t="str">
        <f t="shared" si="0"/>
        <v>D</v>
      </c>
      <c r="L14" t="str">
        <f t="shared" si="0"/>
        <v>HS</v>
      </c>
      <c r="M14" t="str">
        <f t="shared" si="0"/>
        <v>BED</v>
      </c>
      <c r="N14" t="s">
        <v>38</v>
      </c>
    </row>
    <row r="15" spans="1:14" ht="12.75">
      <c r="A15">
        <v>1</v>
      </c>
      <c r="B15" s="9" t="s">
        <v>49</v>
      </c>
      <c r="C15" s="9" t="s">
        <v>50</v>
      </c>
      <c r="D15" s="9">
        <v>1.66</v>
      </c>
      <c r="E15" s="9" t="s">
        <v>60</v>
      </c>
      <c r="F15" s="9">
        <v>1</v>
      </c>
      <c r="G15" t="str">
        <f>IF(ISNUMBER(D15),CONCATENATE(C15," - ",TEXT(D15,C$11)),C15)</f>
        <v>BC Hilden - 1,66</v>
      </c>
      <c r="H15">
        <f aca="true" t="shared" si="1" ref="H15:M19">D69</f>
        <v>8</v>
      </c>
      <c r="I15">
        <f t="shared" si="1"/>
        <v>278</v>
      </c>
      <c r="J15">
        <f t="shared" si="1"/>
        <v>80</v>
      </c>
      <c r="K15" t="str">
        <f t="shared" si="1"/>
        <v>3,47</v>
      </c>
      <c r="L15">
        <f t="shared" si="1"/>
        <v>22</v>
      </c>
      <c r="M15" t="str">
        <f t="shared" si="1"/>
        <v>4,55</v>
      </c>
      <c r="N15">
        <f>N69</f>
        <v>1</v>
      </c>
    </row>
    <row r="16" spans="1:14" ht="12.75">
      <c r="A16">
        <v>2</v>
      </c>
      <c r="B16" s="9" t="s">
        <v>53</v>
      </c>
      <c r="C16" s="9" t="s">
        <v>57</v>
      </c>
      <c r="D16" s="9">
        <v>1.63</v>
      </c>
      <c r="E16" s="9" t="s">
        <v>61</v>
      </c>
      <c r="F16" s="9">
        <v>2</v>
      </c>
      <c r="G16" t="str">
        <f>IF(ISNUMBER(D16),CONCATENATE(C16," - ",TEXT(D16,C$11)),C16)</f>
        <v>BF Loberich - 1,63</v>
      </c>
      <c r="H16">
        <f t="shared" si="1"/>
        <v>6</v>
      </c>
      <c r="I16">
        <f t="shared" si="1"/>
        <v>302</v>
      </c>
      <c r="J16">
        <f t="shared" si="1"/>
        <v>80</v>
      </c>
      <c r="K16" t="str">
        <f t="shared" si="1"/>
        <v>3,77</v>
      </c>
      <c r="L16">
        <f t="shared" si="1"/>
        <v>27</v>
      </c>
      <c r="M16" t="str">
        <f t="shared" si="1"/>
        <v>5,95</v>
      </c>
      <c r="N16">
        <f>N70</f>
        <v>2</v>
      </c>
    </row>
    <row r="17" spans="1:14" ht="12.75">
      <c r="A17">
        <v>3</v>
      </c>
      <c r="B17" s="9" t="s">
        <v>54</v>
      </c>
      <c r="C17" s="9" t="s">
        <v>50</v>
      </c>
      <c r="D17" s="9">
        <v>1.57</v>
      </c>
      <c r="E17" s="9" t="s">
        <v>62</v>
      </c>
      <c r="F17" s="9">
        <v>3</v>
      </c>
      <c r="G17" t="str">
        <f>IF(ISNUMBER(D17),CONCATENATE(C17," - ",TEXT(D17,C$11)),C17)</f>
        <v>BC Hilden - 1,57</v>
      </c>
      <c r="H17">
        <f t="shared" si="1"/>
        <v>4</v>
      </c>
      <c r="I17">
        <f t="shared" si="1"/>
        <v>205</v>
      </c>
      <c r="J17">
        <f t="shared" si="1"/>
        <v>80</v>
      </c>
      <c r="K17" t="str">
        <f t="shared" si="1"/>
        <v>2,56</v>
      </c>
      <c r="L17">
        <f t="shared" si="1"/>
        <v>16</v>
      </c>
      <c r="M17" t="str">
        <f t="shared" si="1"/>
        <v>3,70</v>
      </c>
      <c r="N17">
        <f>N71</f>
        <v>3</v>
      </c>
    </row>
    <row r="18" spans="1:14" ht="12.75">
      <c r="A18">
        <v>4</v>
      </c>
      <c r="B18" s="9" t="s">
        <v>55</v>
      </c>
      <c r="C18" s="9" t="s">
        <v>58</v>
      </c>
      <c r="D18" s="9">
        <v>0.77</v>
      </c>
      <c r="E18" s="9" t="s">
        <v>63</v>
      </c>
      <c r="F18" s="9">
        <v>4</v>
      </c>
      <c r="G18" t="str">
        <f>IF(ISNUMBER(D18),CONCATENATE(C18," - ",TEXT(D18,C$11)),C18)</f>
        <v>GW Asberg - 0,77</v>
      </c>
      <c r="H18">
        <f t="shared" si="1"/>
        <v>0</v>
      </c>
      <c r="I18">
        <f t="shared" si="1"/>
        <v>20</v>
      </c>
      <c r="J18">
        <f t="shared" si="1"/>
        <v>80</v>
      </c>
      <c r="K18" t="str">
        <f t="shared" si="1"/>
        <v>0,25</v>
      </c>
      <c r="L18">
        <f t="shared" si="1"/>
        <v>3</v>
      </c>
      <c r="M18" t="str">
        <f t="shared" si="1"/>
        <v>-</v>
      </c>
      <c r="N18">
        <f>N72</f>
        <v>5</v>
      </c>
    </row>
    <row r="19" spans="1:14" ht="12.75">
      <c r="A19">
        <v>5</v>
      </c>
      <c r="B19" s="9" t="s">
        <v>56</v>
      </c>
      <c r="C19" s="9" t="s">
        <v>59</v>
      </c>
      <c r="D19" s="9">
        <v>0.6</v>
      </c>
      <c r="E19" s="9" t="s">
        <v>64</v>
      </c>
      <c r="F19" s="9">
        <v>5</v>
      </c>
      <c r="G19" t="str">
        <f>IF(ISNUMBER(D19),CONCATENATE(C19," - ",TEXT(D19,C$11)),C19)</f>
        <v>BC Essen Ost - 0,60</v>
      </c>
      <c r="H19">
        <f t="shared" si="1"/>
        <v>2</v>
      </c>
      <c r="I19">
        <f t="shared" si="1"/>
        <v>79</v>
      </c>
      <c r="J19">
        <f t="shared" si="1"/>
        <v>80</v>
      </c>
      <c r="K19" t="str">
        <f t="shared" si="1"/>
        <v>0,98</v>
      </c>
      <c r="L19">
        <f t="shared" si="1"/>
        <v>5</v>
      </c>
      <c r="M19" t="str">
        <f t="shared" si="1"/>
        <v>1,05</v>
      </c>
      <c r="N19">
        <f>N73</f>
        <v>4</v>
      </c>
    </row>
    <row r="21" spans="1:17" ht="12.75">
      <c r="A21" t="s">
        <v>12</v>
      </c>
      <c r="B21" t="s">
        <v>15</v>
      </c>
      <c r="C21" t="s">
        <v>20</v>
      </c>
      <c r="D21" t="s">
        <v>17</v>
      </c>
      <c r="E21" t="s">
        <v>18</v>
      </c>
      <c r="F21" t="s">
        <v>19</v>
      </c>
      <c r="G21" t="s">
        <v>7</v>
      </c>
      <c r="H21" t="s">
        <v>25</v>
      </c>
      <c r="I21" t="s">
        <v>16</v>
      </c>
      <c r="J21" t="s">
        <v>21</v>
      </c>
      <c r="K21" t="s">
        <v>17</v>
      </c>
      <c r="L21" t="s">
        <v>18</v>
      </c>
      <c r="M21" t="s">
        <v>19</v>
      </c>
      <c r="N21" t="s">
        <v>7</v>
      </c>
      <c r="O21" t="s">
        <v>26</v>
      </c>
      <c r="P21" t="s">
        <v>13</v>
      </c>
      <c r="Q21" t="s">
        <v>14</v>
      </c>
    </row>
    <row r="22" spans="1:17" ht="12.75">
      <c r="A22">
        <v>1</v>
      </c>
      <c r="B22" t="str">
        <f aca="true" t="shared" si="2" ref="B22:B31">VLOOKUP(P22,$A$15:$E$19,5,FALSE)</f>
        <v>Löwe</v>
      </c>
      <c r="C22">
        <f>10*P22+Q22</f>
        <v>25</v>
      </c>
      <c r="D22" s="9">
        <v>119</v>
      </c>
      <c r="E22" s="9">
        <v>20</v>
      </c>
      <c r="F22" s="9">
        <v>27</v>
      </c>
      <c r="G22" s="4" t="str">
        <f aca="true" t="shared" si="3" ref="G22:G31">IF(E22=0,"-",TEXT(INT(D22/E22*$C$12)/$C$12,$C$11))</f>
        <v>5,95</v>
      </c>
      <c r="H22" s="5">
        <f aca="true" t="shared" si="4" ref="H22:H31">IF(E22&gt;0,IF(D22&gt;K22,2,IF(D22&lt;K22,0,1)),0)</f>
        <v>2</v>
      </c>
      <c r="I22" t="str">
        <f aca="true" t="shared" si="5" ref="I22:I31">VLOOKUP(Q22,$A$15:$E$19,5,FALSE)</f>
        <v>Gehrig</v>
      </c>
      <c r="J22">
        <f aca="true" t="shared" si="6" ref="J22:J31">10*Q22+P22</f>
        <v>52</v>
      </c>
      <c r="K22" s="9">
        <v>22</v>
      </c>
      <c r="L22">
        <f aca="true" t="shared" si="7" ref="L22:L31">E22</f>
        <v>20</v>
      </c>
      <c r="M22" s="9">
        <v>5</v>
      </c>
      <c r="N22" s="4" t="str">
        <f aca="true" t="shared" si="8" ref="N22:N31">IF(L22=0,"-",TEXT(INT(K22/L22*$C$12)/$C$12,$C$11))</f>
        <v>1,10</v>
      </c>
      <c r="O22">
        <f aca="true" t="shared" si="9" ref="O22:O31">IF(E22&gt;0,2-H22,0)</f>
        <v>0</v>
      </c>
      <c r="P22">
        <v>2</v>
      </c>
      <c r="Q22">
        <v>5</v>
      </c>
    </row>
    <row r="23" spans="1:17" ht="12.75">
      <c r="A23">
        <v>2</v>
      </c>
      <c r="B23" t="str">
        <f t="shared" si="2"/>
        <v>Assmann</v>
      </c>
      <c r="C23">
        <f>10*P23+Q23</f>
        <v>34</v>
      </c>
      <c r="D23" s="9">
        <v>37</v>
      </c>
      <c r="E23" s="9">
        <v>20</v>
      </c>
      <c r="F23" s="9">
        <v>7</v>
      </c>
      <c r="G23" s="4" t="str">
        <f t="shared" si="3"/>
        <v>1,85</v>
      </c>
      <c r="H23" s="5">
        <f t="shared" si="4"/>
        <v>2</v>
      </c>
      <c r="I23" t="str">
        <f t="shared" si="5"/>
        <v>Krieger</v>
      </c>
      <c r="J23">
        <f t="shared" si="6"/>
        <v>43</v>
      </c>
      <c r="K23" s="9">
        <v>6</v>
      </c>
      <c r="L23">
        <f t="shared" si="7"/>
        <v>20</v>
      </c>
      <c r="M23" s="9">
        <v>2</v>
      </c>
      <c r="N23" s="4" t="str">
        <f t="shared" si="8"/>
        <v>0,30</v>
      </c>
      <c r="O23">
        <f t="shared" si="9"/>
        <v>0</v>
      </c>
      <c r="P23">
        <v>3</v>
      </c>
      <c r="Q23">
        <v>4</v>
      </c>
    </row>
    <row r="24" spans="1:17" ht="12.75">
      <c r="A24">
        <v>3</v>
      </c>
      <c r="B24" t="str">
        <f t="shared" si="2"/>
        <v>Ramge</v>
      </c>
      <c r="C24">
        <f aca="true" t="shared" si="10" ref="C24:C30">10*P24+Q24</f>
        <v>15</v>
      </c>
      <c r="D24" s="9">
        <v>46</v>
      </c>
      <c r="E24" s="9">
        <v>20</v>
      </c>
      <c r="F24" s="9">
        <v>6</v>
      </c>
      <c r="G24" s="4" t="str">
        <f t="shared" si="3"/>
        <v>2,30</v>
      </c>
      <c r="H24" s="5">
        <f t="shared" si="4"/>
        <v>2</v>
      </c>
      <c r="I24" t="str">
        <f t="shared" si="5"/>
        <v>Gehrig</v>
      </c>
      <c r="J24">
        <f t="shared" si="6"/>
        <v>51</v>
      </c>
      <c r="K24" s="9">
        <v>18</v>
      </c>
      <c r="L24">
        <f t="shared" si="7"/>
        <v>20</v>
      </c>
      <c r="M24" s="9">
        <v>4</v>
      </c>
      <c r="N24" s="4" t="str">
        <f t="shared" si="8"/>
        <v>0,90</v>
      </c>
      <c r="O24">
        <f t="shared" si="9"/>
        <v>0</v>
      </c>
      <c r="P24">
        <v>1</v>
      </c>
      <c r="Q24">
        <v>5</v>
      </c>
    </row>
    <row r="25" spans="1:17" ht="12.75">
      <c r="A25">
        <v>4</v>
      </c>
      <c r="B25" t="str">
        <f t="shared" si="2"/>
        <v>Löwe</v>
      </c>
      <c r="C25">
        <f t="shared" si="10"/>
        <v>24</v>
      </c>
      <c r="D25" s="9">
        <v>44</v>
      </c>
      <c r="E25" s="9">
        <v>20</v>
      </c>
      <c r="F25" s="9">
        <v>9</v>
      </c>
      <c r="G25" s="4" t="str">
        <f t="shared" si="3"/>
        <v>2,20</v>
      </c>
      <c r="H25" s="5">
        <f t="shared" si="4"/>
        <v>2</v>
      </c>
      <c r="I25" t="str">
        <f t="shared" si="5"/>
        <v>Krieger</v>
      </c>
      <c r="J25">
        <f t="shared" si="6"/>
        <v>42</v>
      </c>
      <c r="K25" s="9">
        <v>5</v>
      </c>
      <c r="L25">
        <f t="shared" si="7"/>
        <v>20</v>
      </c>
      <c r="M25" s="9">
        <v>1</v>
      </c>
      <c r="N25" s="4" t="str">
        <f t="shared" si="8"/>
        <v>0,25</v>
      </c>
      <c r="O25">
        <f t="shared" si="9"/>
        <v>0</v>
      </c>
      <c r="P25">
        <v>2</v>
      </c>
      <c r="Q25">
        <v>4</v>
      </c>
    </row>
    <row r="26" spans="1:17" ht="12.75">
      <c r="A26">
        <v>5</v>
      </c>
      <c r="B26" t="str">
        <f t="shared" si="2"/>
        <v>Ramge</v>
      </c>
      <c r="C26">
        <f t="shared" si="10"/>
        <v>13</v>
      </c>
      <c r="D26" s="9">
        <v>83</v>
      </c>
      <c r="E26" s="9">
        <v>20</v>
      </c>
      <c r="F26" s="9">
        <v>22</v>
      </c>
      <c r="G26" s="4" t="str">
        <f t="shared" si="3"/>
        <v>4,15</v>
      </c>
      <c r="H26" s="5">
        <f t="shared" si="4"/>
        <v>2</v>
      </c>
      <c r="I26" t="str">
        <f t="shared" si="5"/>
        <v>Assmann</v>
      </c>
      <c r="J26">
        <f t="shared" si="6"/>
        <v>31</v>
      </c>
      <c r="K26" s="9">
        <v>40</v>
      </c>
      <c r="L26">
        <f t="shared" si="7"/>
        <v>20</v>
      </c>
      <c r="M26" s="9">
        <v>7</v>
      </c>
      <c r="N26" s="4" t="str">
        <f t="shared" si="8"/>
        <v>2,00</v>
      </c>
      <c r="O26">
        <f t="shared" si="9"/>
        <v>0</v>
      </c>
      <c r="P26">
        <v>1</v>
      </c>
      <c r="Q26">
        <v>3</v>
      </c>
    </row>
    <row r="27" spans="1:17" ht="12.75">
      <c r="A27">
        <v>6</v>
      </c>
      <c r="B27" t="str">
        <f t="shared" si="2"/>
        <v>Krieger</v>
      </c>
      <c r="C27">
        <f t="shared" si="10"/>
        <v>45</v>
      </c>
      <c r="D27" s="9">
        <v>3</v>
      </c>
      <c r="E27" s="9">
        <v>20</v>
      </c>
      <c r="F27" s="9">
        <v>1</v>
      </c>
      <c r="G27" s="4" t="str">
        <f t="shared" si="3"/>
        <v>0,15</v>
      </c>
      <c r="H27" s="5">
        <f t="shared" si="4"/>
        <v>0</v>
      </c>
      <c r="I27" t="str">
        <f t="shared" si="5"/>
        <v>Gehrig</v>
      </c>
      <c r="J27">
        <f t="shared" si="6"/>
        <v>54</v>
      </c>
      <c r="K27" s="9">
        <v>21</v>
      </c>
      <c r="L27">
        <f t="shared" si="7"/>
        <v>20</v>
      </c>
      <c r="M27" s="9">
        <v>4</v>
      </c>
      <c r="N27" s="4" t="str">
        <f t="shared" si="8"/>
        <v>1,05</v>
      </c>
      <c r="O27">
        <f t="shared" si="9"/>
        <v>2</v>
      </c>
      <c r="P27">
        <v>4</v>
      </c>
      <c r="Q27">
        <v>5</v>
      </c>
    </row>
    <row r="28" spans="1:17" ht="12.75">
      <c r="A28">
        <v>7</v>
      </c>
      <c r="B28" t="str">
        <f t="shared" si="2"/>
        <v>Löwe</v>
      </c>
      <c r="C28">
        <f t="shared" si="10"/>
        <v>23</v>
      </c>
      <c r="D28" s="9">
        <v>77</v>
      </c>
      <c r="E28" s="9">
        <v>20</v>
      </c>
      <c r="F28" s="9">
        <v>16</v>
      </c>
      <c r="G28" s="4" t="str">
        <f t="shared" si="3"/>
        <v>3,85</v>
      </c>
      <c r="H28" s="5">
        <f t="shared" si="4"/>
        <v>2</v>
      </c>
      <c r="I28" t="str">
        <f t="shared" si="5"/>
        <v>Assmann</v>
      </c>
      <c r="J28">
        <f t="shared" si="6"/>
        <v>32</v>
      </c>
      <c r="K28" s="9">
        <v>54</v>
      </c>
      <c r="L28">
        <f t="shared" si="7"/>
        <v>20</v>
      </c>
      <c r="M28" s="9">
        <v>7</v>
      </c>
      <c r="N28" s="4" t="str">
        <f t="shared" si="8"/>
        <v>2,70</v>
      </c>
      <c r="O28">
        <f t="shared" si="9"/>
        <v>0</v>
      </c>
      <c r="P28">
        <v>2</v>
      </c>
      <c r="Q28">
        <v>3</v>
      </c>
    </row>
    <row r="29" spans="1:17" ht="12.75">
      <c r="A29">
        <v>8</v>
      </c>
      <c r="B29" t="str">
        <f t="shared" si="2"/>
        <v>Ramge</v>
      </c>
      <c r="C29">
        <f t="shared" si="10"/>
        <v>14</v>
      </c>
      <c r="D29" s="9">
        <v>58</v>
      </c>
      <c r="E29" s="9">
        <v>20</v>
      </c>
      <c r="F29" s="9">
        <v>16</v>
      </c>
      <c r="G29" s="4" t="str">
        <f t="shared" si="3"/>
        <v>2,90</v>
      </c>
      <c r="H29" s="5">
        <f t="shared" si="4"/>
        <v>2</v>
      </c>
      <c r="I29" t="str">
        <f t="shared" si="5"/>
        <v>Krieger</v>
      </c>
      <c r="J29">
        <f t="shared" si="6"/>
        <v>41</v>
      </c>
      <c r="K29" s="9">
        <v>6</v>
      </c>
      <c r="L29">
        <f t="shared" si="7"/>
        <v>20</v>
      </c>
      <c r="M29" s="9">
        <v>3</v>
      </c>
      <c r="N29" s="4" t="str">
        <f t="shared" si="8"/>
        <v>0,30</v>
      </c>
      <c r="O29">
        <f t="shared" si="9"/>
        <v>0</v>
      </c>
      <c r="P29">
        <v>1</v>
      </c>
      <c r="Q29">
        <v>4</v>
      </c>
    </row>
    <row r="30" spans="1:17" ht="12.75">
      <c r="A30">
        <v>9</v>
      </c>
      <c r="B30" t="str">
        <f t="shared" si="2"/>
        <v>Assmann</v>
      </c>
      <c r="C30">
        <f t="shared" si="10"/>
        <v>35</v>
      </c>
      <c r="D30" s="9">
        <v>74</v>
      </c>
      <c r="E30" s="9">
        <v>20</v>
      </c>
      <c r="F30" s="9">
        <v>16</v>
      </c>
      <c r="G30" s="4" t="str">
        <f t="shared" si="3"/>
        <v>3,70</v>
      </c>
      <c r="H30" s="5">
        <f t="shared" si="4"/>
        <v>2</v>
      </c>
      <c r="I30" t="str">
        <f t="shared" si="5"/>
        <v>Gehrig</v>
      </c>
      <c r="J30">
        <f t="shared" si="6"/>
        <v>53</v>
      </c>
      <c r="K30" s="9">
        <v>18</v>
      </c>
      <c r="L30">
        <f t="shared" si="7"/>
        <v>20</v>
      </c>
      <c r="M30" s="9">
        <v>5</v>
      </c>
      <c r="N30" s="4" t="str">
        <f t="shared" si="8"/>
        <v>0,90</v>
      </c>
      <c r="O30">
        <f t="shared" si="9"/>
        <v>0</v>
      </c>
      <c r="P30">
        <v>3</v>
      </c>
      <c r="Q30">
        <v>5</v>
      </c>
    </row>
    <row r="31" spans="1:17" ht="12.75">
      <c r="A31">
        <v>10</v>
      </c>
      <c r="B31" t="str">
        <f t="shared" si="2"/>
        <v>Ramge</v>
      </c>
      <c r="C31">
        <f>10*P31+Q31</f>
        <v>12</v>
      </c>
      <c r="D31" s="9">
        <v>91</v>
      </c>
      <c r="E31" s="9">
        <v>20</v>
      </c>
      <c r="F31" s="9">
        <v>13</v>
      </c>
      <c r="G31" s="4" t="str">
        <f t="shared" si="3"/>
        <v>4,55</v>
      </c>
      <c r="H31" s="5">
        <f t="shared" si="4"/>
        <v>2</v>
      </c>
      <c r="I31" t="str">
        <f t="shared" si="5"/>
        <v>Löwe</v>
      </c>
      <c r="J31">
        <f t="shared" si="6"/>
        <v>21</v>
      </c>
      <c r="K31" s="9">
        <v>62</v>
      </c>
      <c r="L31">
        <f t="shared" si="7"/>
        <v>20</v>
      </c>
      <c r="M31" s="9">
        <v>17</v>
      </c>
      <c r="N31" s="4" t="str">
        <f t="shared" si="8"/>
        <v>3,10</v>
      </c>
      <c r="O31">
        <f t="shared" si="9"/>
        <v>0</v>
      </c>
      <c r="P31">
        <v>1</v>
      </c>
      <c r="Q31">
        <v>2</v>
      </c>
    </row>
    <row r="33" spans="1:9" ht="12.75">
      <c r="A33">
        <v>1</v>
      </c>
      <c r="B33" t="str">
        <f>VLOOKUP(A33,$A$15:$E$19,5,FALSE)</f>
        <v>Ramge</v>
      </c>
      <c r="C33" t="s">
        <v>22</v>
      </c>
      <c r="D33" t="s">
        <v>17</v>
      </c>
      <c r="E33" t="s">
        <v>18</v>
      </c>
      <c r="F33" t="s">
        <v>19</v>
      </c>
      <c r="G33" t="s">
        <v>23</v>
      </c>
      <c r="H33" t="s">
        <v>24</v>
      </c>
      <c r="I33" t="s">
        <v>27</v>
      </c>
    </row>
    <row r="34" spans="1:9" ht="12.75">
      <c r="A34">
        <v>2</v>
      </c>
      <c r="B34" t="str">
        <f>VLOOKUP(A34,$A$15:$E$19,5,FALSE)</f>
        <v>Löwe</v>
      </c>
      <c r="C34">
        <f>10*A33+A34</f>
        <v>12</v>
      </c>
      <c r="D34">
        <f aca="true" t="shared" si="11" ref="D34:F37">SUMIF($C$22:$C$31,$C34,D$22:D$31)+SUMIF($J$22:$J$31,$C34,K$22:K$31)</f>
        <v>91</v>
      </c>
      <c r="E34">
        <f t="shared" si="11"/>
        <v>20</v>
      </c>
      <c r="F34">
        <f t="shared" si="11"/>
        <v>13</v>
      </c>
      <c r="G34" s="4" t="str">
        <f>IF(E34=0,"-",TEXT(INT(D34/E34*$C$12)/$C$12,$C$11))</f>
        <v>4,55</v>
      </c>
      <c r="H34">
        <f>SUMIF($C$22:$C$31,$C34,H$22:H$31)+SUMIF($J$22:$J$31,$C34,O$22:O$31)</f>
        <v>2</v>
      </c>
      <c r="I34" s="6">
        <f>IF(H34&gt;0,VALUE(G34),0)</f>
        <v>4.55</v>
      </c>
    </row>
    <row r="35" spans="1:9" ht="12.75">
      <c r="A35">
        <v>3</v>
      </c>
      <c r="B35" t="str">
        <f>VLOOKUP(A35,$A$15:$E$19,5,FALSE)</f>
        <v>Assmann</v>
      </c>
      <c r="C35">
        <f>10*A33+A35</f>
        <v>13</v>
      </c>
      <c r="D35">
        <f t="shared" si="11"/>
        <v>83</v>
      </c>
      <c r="E35">
        <f t="shared" si="11"/>
        <v>20</v>
      </c>
      <c r="F35">
        <f t="shared" si="11"/>
        <v>22</v>
      </c>
      <c r="G35" s="4" t="str">
        <f>IF(E35=0,"-",TEXT(INT(D35/E35*$C$12)/$C$12,$C$11))</f>
        <v>4,15</v>
      </c>
      <c r="H35">
        <f>SUMIF($C$22:$C$31,$C35,H$22:H$31)+SUMIF($J$22:$J$31,$C35,O$22:O$31)</f>
        <v>2</v>
      </c>
      <c r="I35" s="6">
        <f>IF(H35&gt;0,MAX(I34,VALUE(G35)),I34)</f>
        <v>4.55</v>
      </c>
    </row>
    <row r="36" spans="1:9" ht="12.75">
      <c r="A36">
        <v>4</v>
      </c>
      <c r="B36" t="str">
        <f>VLOOKUP(A36,$A$15:$E$19,5,FALSE)</f>
        <v>Krieger</v>
      </c>
      <c r="C36">
        <f>10*A33+A36</f>
        <v>14</v>
      </c>
      <c r="D36">
        <f t="shared" si="11"/>
        <v>58</v>
      </c>
      <c r="E36">
        <f t="shared" si="11"/>
        <v>20</v>
      </c>
      <c r="F36">
        <f t="shared" si="11"/>
        <v>16</v>
      </c>
      <c r="G36" s="4" t="str">
        <f>IF(E36=0,"-",TEXT(INT(D36/E36*$C$12)/$C$12,$C$11))</f>
        <v>2,90</v>
      </c>
      <c r="H36">
        <f>SUMIF($C$22:$C$31,$C36,H$22:H$31)+SUMIF($J$22:$J$31,$C36,O$22:O$31)</f>
        <v>2</v>
      </c>
      <c r="I36" s="6">
        <f>IF(H36&gt;0,MAX(I35,VALUE(G36)),I35)</f>
        <v>4.55</v>
      </c>
    </row>
    <row r="37" spans="1:9" ht="12.75">
      <c r="A37">
        <v>5</v>
      </c>
      <c r="B37" t="str">
        <f>VLOOKUP(A37,$A$15:$E$19,5,FALSE)</f>
        <v>Gehrig</v>
      </c>
      <c r="C37">
        <f>10*A33+A37</f>
        <v>15</v>
      </c>
      <c r="D37">
        <f t="shared" si="11"/>
        <v>46</v>
      </c>
      <c r="E37">
        <f t="shared" si="11"/>
        <v>20</v>
      </c>
      <c r="F37">
        <f t="shared" si="11"/>
        <v>6</v>
      </c>
      <c r="G37" s="4" t="str">
        <f>IF(E37=0,"-",TEXT(INT(D37/E37*$C$12)/$C$12,$C$11))</f>
        <v>2,30</v>
      </c>
      <c r="H37">
        <f>SUMIF($C$22:$C$31,$C37,H$22:H$31)+SUMIF($J$22:$J$31,$C37,O$22:O$31)</f>
        <v>2</v>
      </c>
      <c r="I37" s="6">
        <f>IF(H37&gt;0,MAX(I36,VALUE(G37)),I36)</f>
        <v>4.55</v>
      </c>
    </row>
    <row r="38" spans="3:10" ht="12.75">
      <c r="C38">
        <f>A33</f>
        <v>1</v>
      </c>
      <c r="D38">
        <f>SUM(D34:D37)</f>
        <v>278</v>
      </c>
      <c r="E38">
        <f>SUM(E34:E37)</f>
        <v>80</v>
      </c>
      <c r="F38">
        <f>MAX(F34:F37)</f>
        <v>22</v>
      </c>
      <c r="G38" s="4" t="str">
        <f>IF(E38=0,"-",TEXT(INT(D38/E38*$C$12)/$C$12,$C$11))</f>
        <v>3,47</v>
      </c>
      <c r="H38">
        <f>SUM(H34:H37)</f>
        <v>8</v>
      </c>
      <c r="I38" t="str">
        <f>IF(I37&gt;0,TEXT(I37,C$11),"-")</f>
        <v>4,55</v>
      </c>
      <c r="J38" s="1">
        <f>COUNTIF(E34:E37,"&lt;&gt;0")*2-H38</f>
        <v>0</v>
      </c>
    </row>
    <row r="40" spans="1:9" ht="12.75">
      <c r="A40">
        <v>2</v>
      </c>
      <c r="B40" t="str">
        <f>VLOOKUP(A40,$A$15:$E$19,5,FALSE)</f>
        <v>Löwe</v>
      </c>
      <c r="C40" t="s">
        <v>22</v>
      </c>
      <c r="D40" t="s">
        <v>17</v>
      </c>
      <c r="E40" t="s">
        <v>18</v>
      </c>
      <c r="F40" t="s">
        <v>19</v>
      </c>
      <c r="G40" t="s">
        <v>23</v>
      </c>
      <c r="H40" t="s">
        <v>24</v>
      </c>
      <c r="I40" t="s">
        <v>27</v>
      </c>
    </row>
    <row r="41" spans="1:9" ht="12.75">
      <c r="A41">
        <v>1</v>
      </c>
      <c r="B41" t="str">
        <f>VLOOKUP(A41,$A$15:$E$19,5,FALSE)</f>
        <v>Ramge</v>
      </c>
      <c r="C41">
        <f>10*A40+A41</f>
        <v>21</v>
      </c>
      <c r="D41">
        <f aca="true" t="shared" si="12" ref="D41:F44">SUMIF($C$22:$C$31,$C41,D$22:D$31)+SUMIF($J$22:$J$31,$C41,K$22:K$31)</f>
        <v>62</v>
      </c>
      <c r="E41">
        <f t="shared" si="12"/>
        <v>20</v>
      </c>
      <c r="F41">
        <f t="shared" si="12"/>
        <v>17</v>
      </c>
      <c r="G41" s="4" t="str">
        <f>IF(E41=0,"-",TEXT(INT(D41/E41*$C$12)/$C$12,$C$11))</f>
        <v>3,10</v>
      </c>
      <c r="H41">
        <f>SUMIF($C$22:$C$31,$C41,H$22:H$31)+SUMIF($J$22:$J$31,$C41,O$22:O$31)</f>
        <v>0</v>
      </c>
      <c r="I41" s="6">
        <f>IF(H41&gt;0,VALUE(G41),0)</f>
        <v>0</v>
      </c>
    </row>
    <row r="42" spans="1:9" ht="12.75">
      <c r="A42">
        <v>3</v>
      </c>
      <c r="B42" t="str">
        <f>VLOOKUP(A42,$A$15:$E$19,5,FALSE)</f>
        <v>Assmann</v>
      </c>
      <c r="C42">
        <f>10*A40+A42</f>
        <v>23</v>
      </c>
      <c r="D42">
        <f t="shared" si="12"/>
        <v>77</v>
      </c>
      <c r="E42">
        <f t="shared" si="12"/>
        <v>20</v>
      </c>
      <c r="F42">
        <f t="shared" si="12"/>
        <v>16</v>
      </c>
      <c r="G42" s="4" t="str">
        <f>IF(E42=0,"-",TEXT(INT(D42/E42*$C$12)/$C$12,$C$11))</f>
        <v>3,85</v>
      </c>
      <c r="H42">
        <f>SUMIF($C$22:$C$31,$C42,H$22:H$31)+SUMIF($J$22:$J$31,$C42,O$22:O$31)</f>
        <v>2</v>
      </c>
      <c r="I42" s="6">
        <f>IF(H42&gt;0,MAX(I41,VALUE(G42)),I41)</f>
        <v>3.85</v>
      </c>
    </row>
    <row r="43" spans="1:9" ht="12.75">
      <c r="A43">
        <v>4</v>
      </c>
      <c r="B43" t="str">
        <f>VLOOKUP(A43,$A$15:$E$19,5,FALSE)</f>
        <v>Krieger</v>
      </c>
      <c r="C43">
        <f>10*A40+A43</f>
        <v>24</v>
      </c>
      <c r="D43">
        <f t="shared" si="12"/>
        <v>44</v>
      </c>
      <c r="E43">
        <f t="shared" si="12"/>
        <v>20</v>
      </c>
      <c r="F43">
        <f t="shared" si="12"/>
        <v>9</v>
      </c>
      <c r="G43" s="4" t="str">
        <f>IF(E43=0,"-",TEXT(INT(D43/E43*$C$12)/$C$12,$C$11))</f>
        <v>2,20</v>
      </c>
      <c r="H43">
        <f>SUMIF($C$22:$C$31,$C43,H$22:H$31)+SUMIF($J$22:$J$31,$C43,O$22:O$31)</f>
        <v>2</v>
      </c>
      <c r="I43" s="6">
        <f>IF(H43&gt;0,MAX(I42,VALUE(G43)),I42)</f>
        <v>3.85</v>
      </c>
    </row>
    <row r="44" spans="1:9" ht="12.75">
      <c r="A44">
        <v>5</v>
      </c>
      <c r="B44" t="str">
        <f>VLOOKUP(A44,$A$15:$E$19,5,FALSE)</f>
        <v>Gehrig</v>
      </c>
      <c r="C44">
        <f>10*A40+A44</f>
        <v>25</v>
      </c>
      <c r="D44">
        <f t="shared" si="12"/>
        <v>119</v>
      </c>
      <c r="E44">
        <f t="shared" si="12"/>
        <v>20</v>
      </c>
      <c r="F44">
        <f t="shared" si="12"/>
        <v>27</v>
      </c>
      <c r="G44" s="4" t="str">
        <f>IF(E44=0,"-",TEXT(INT(D44/E44*$C$12)/$C$12,$C$11))</f>
        <v>5,95</v>
      </c>
      <c r="H44">
        <f>SUMIF($C$22:$C$31,$C44,H$22:H$31)+SUMIF($J$22:$J$31,$C44,O$22:O$31)</f>
        <v>2</v>
      </c>
      <c r="I44" s="6">
        <f>IF(H44&gt;0,MAX(I43,VALUE(G44)),I43)</f>
        <v>5.95</v>
      </c>
    </row>
    <row r="45" spans="3:10" ht="12.75">
      <c r="C45">
        <f>A40</f>
        <v>2</v>
      </c>
      <c r="D45">
        <f>SUM(D41:D44)</f>
        <v>302</v>
      </c>
      <c r="E45">
        <f>SUM(E41:E44)</f>
        <v>80</v>
      </c>
      <c r="F45">
        <f>MAX(F41:F44)</f>
        <v>27</v>
      </c>
      <c r="G45" s="4" t="str">
        <f>IF(E45=0,"-",TEXT(INT(D45/E45*$C$12)/$C$12,$C$11))</f>
        <v>3,77</v>
      </c>
      <c r="H45">
        <f>SUM(H41:H44)</f>
        <v>6</v>
      </c>
      <c r="I45" t="str">
        <f>IF(I44&gt;0,TEXT(I44,C$11),"-")</f>
        <v>5,95</v>
      </c>
      <c r="J45" s="1">
        <f>COUNTIF(E41:E44,"&lt;&gt;0")*2-H45</f>
        <v>2</v>
      </c>
    </row>
    <row r="47" spans="1:9" ht="12.75">
      <c r="A47">
        <v>3</v>
      </c>
      <c r="B47" t="str">
        <f>VLOOKUP(A47,$A$15:$E$19,5,FALSE)</f>
        <v>Assmann</v>
      </c>
      <c r="C47" t="s">
        <v>22</v>
      </c>
      <c r="D47" t="s">
        <v>17</v>
      </c>
      <c r="E47" t="s">
        <v>18</v>
      </c>
      <c r="F47" t="s">
        <v>19</v>
      </c>
      <c r="G47" t="s">
        <v>23</v>
      </c>
      <c r="H47" t="s">
        <v>24</v>
      </c>
      <c r="I47" t="s">
        <v>27</v>
      </c>
    </row>
    <row r="48" spans="1:9" ht="12.75">
      <c r="A48">
        <v>1</v>
      </c>
      <c r="B48" t="str">
        <f>VLOOKUP(A48,$A$15:$E$19,5,FALSE)</f>
        <v>Ramge</v>
      </c>
      <c r="C48">
        <f>10*A47+A48</f>
        <v>31</v>
      </c>
      <c r="D48">
        <f aca="true" t="shared" si="13" ref="D48:F51">SUMIF($C$22:$C$31,$C48,D$22:D$31)+SUMIF($J$22:$J$31,$C48,K$22:K$31)</f>
        <v>40</v>
      </c>
      <c r="E48">
        <f t="shared" si="13"/>
        <v>20</v>
      </c>
      <c r="F48">
        <f t="shared" si="13"/>
        <v>7</v>
      </c>
      <c r="G48" s="4" t="str">
        <f>IF(E48=0,"-",TEXT(INT(D48/E48*$C$12)/$C$12,$C$11))</f>
        <v>2,00</v>
      </c>
      <c r="H48">
        <f>SUMIF($C$22:$C$31,$C48,H$22:H$31)+SUMIF($J$22:$J$31,$C48,O$22:O$31)</f>
        <v>0</v>
      </c>
      <c r="I48" s="6">
        <f>IF(H48&gt;0,VALUE(G48),0)</f>
        <v>0</v>
      </c>
    </row>
    <row r="49" spans="1:9" ht="12.75">
      <c r="A49">
        <v>2</v>
      </c>
      <c r="B49" t="str">
        <f>VLOOKUP(A49,$A$15:$E$19,5,FALSE)</f>
        <v>Löwe</v>
      </c>
      <c r="C49">
        <f>10*A47+A49</f>
        <v>32</v>
      </c>
      <c r="D49">
        <f t="shared" si="13"/>
        <v>54</v>
      </c>
      <c r="E49">
        <f t="shared" si="13"/>
        <v>20</v>
      </c>
      <c r="F49">
        <f t="shared" si="13"/>
        <v>7</v>
      </c>
      <c r="G49" s="4" t="str">
        <f>IF(E49=0,"-",TEXT(INT(D49/E49*$C$12)/$C$12,$C$11))</f>
        <v>2,70</v>
      </c>
      <c r="H49">
        <f>SUMIF($C$22:$C$31,$C49,H$22:H$31)+SUMIF($J$22:$J$31,$C49,O$22:O$31)</f>
        <v>0</v>
      </c>
      <c r="I49" s="6">
        <f>IF(H49&gt;0,MAX(I48,VALUE(G49)),I48)</f>
        <v>0</v>
      </c>
    </row>
    <row r="50" spans="1:9" ht="12.75">
      <c r="A50">
        <v>4</v>
      </c>
      <c r="B50" t="str">
        <f>VLOOKUP(A50,$A$15:$E$19,5,FALSE)</f>
        <v>Krieger</v>
      </c>
      <c r="C50">
        <f>10*A47+A50</f>
        <v>34</v>
      </c>
      <c r="D50">
        <f t="shared" si="13"/>
        <v>37</v>
      </c>
      <c r="E50">
        <f t="shared" si="13"/>
        <v>20</v>
      </c>
      <c r="F50">
        <f t="shared" si="13"/>
        <v>7</v>
      </c>
      <c r="G50" s="4" t="str">
        <f>IF(E50=0,"-",TEXT(INT(D50/E50*$C$12)/$C$12,$C$11))</f>
        <v>1,85</v>
      </c>
      <c r="H50">
        <f>SUMIF($C$22:$C$31,$C50,H$22:H$31)+SUMIF($J$22:$J$31,$C50,O$22:O$31)</f>
        <v>2</v>
      </c>
      <c r="I50" s="6">
        <f>IF(H50&gt;0,MAX(I49,VALUE(G50)),I49)</f>
        <v>1.85</v>
      </c>
    </row>
    <row r="51" spans="1:9" ht="12.75">
      <c r="A51">
        <v>5</v>
      </c>
      <c r="B51" t="str">
        <f>VLOOKUP(A51,$A$15:$E$19,5,FALSE)</f>
        <v>Gehrig</v>
      </c>
      <c r="C51">
        <f>10*A47+A51</f>
        <v>35</v>
      </c>
      <c r="D51">
        <f t="shared" si="13"/>
        <v>74</v>
      </c>
      <c r="E51">
        <f t="shared" si="13"/>
        <v>20</v>
      </c>
      <c r="F51">
        <f t="shared" si="13"/>
        <v>16</v>
      </c>
      <c r="G51" s="4" t="str">
        <f>IF(E51=0,"-",TEXT(INT(D51/E51*$C$12)/$C$12,$C$11))</f>
        <v>3,70</v>
      </c>
      <c r="H51">
        <f>SUMIF($C$22:$C$31,$C51,H$22:H$31)+SUMIF($J$22:$J$31,$C51,O$22:O$31)</f>
        <v>2</v>
      </c>
      <c r="I51" s="6">
        <f>IF(H51&gt;0,MAX(I50,VALUE(G51)),I50)</f>
        <v>3.7</v>
      </c>
    </row>
    <row r="52" spans="3:10" ht="12.75">
      <c r="C52">
        <f>A47</f>
        <v>3</v>
      </c>
      <c r="D52">
        <f>SUM(D48:D51)</f>
        <v>205</v>
      </c>
      <c r="E52">
        <f>SUM(E48:E51)</f>
        <v>80</v>
      </c>
      <c r="F52">
        <f>MAX(F48:F51)</f>
        <v>16</v>
      </c>
      <c r="G52" s="4" t="str">
        <f>IF(E52=0,"-",TEXT(INT(D52/E52*$C$12)/$C$12,$C$11))</f>
        <v>2,56</v>
      </c>
      <c r="H52">
        <f>SUM(H48:H51)</f>
        <v>4</v>
      </c>
      <c r="I52" t="str">
        <f>IF(I51&gt;0,TEXT(I51,C$11),"-")</f>
        <v>3,70</v>
      </c>
      <c r="J52" s="1">
        <f>COUNTIF(E48:E51,"&lt;&gt;0")*2-H52</f>
        <v>4</v>
      </c>
    </row>
    <row r="53" spans="7:10" ht="12.75">
      <c r="G53" s="4"/>
      <c r="J53" s="1"/>
    </row>
    <row r="54" spans="1:9" ht="12.75">
      <c r="A54">
        <v>4</v>
      </c>
      <c r="B54" t="str">
        <f>VLOOKUP(A54,$A$15:$E$19,5,FALSE)</f>
        <v>Krieger</v>
      </c>
      <c r="C54" t="s">
        <v>22</v>
      </c>
      <c r="D54" t="s">
        <v>17</v>
      </c>
      <c r="E54" t="s">
        <v>18</v>
      </c>
      <c r="F54" t="s">
        <v>19</v>
      </c>
      <c r="G54" t="s">
        <v>23</v>
      </c>
      <c r="H54" t="s">
        <v>24</v>
      </c>
      <c r="I54" t="s">
        <v>27</v>
      </c>
    </row>
    <row r="55" spans="1:9" ht="12.75">
      <c r="A55">
        <v>1</v>
      </c>
      <c r="B55" t="str">
        <f>VLOOKUP(A55,$A$15:$E$19,5,FALSE)</f>
        <v>Ramge</v>
      </c>
      <c r="C55">
        <f>10*A54+A55</f>
        <v>41</v>
      </c>
      <c r="D55">
        <f aca="true" t="shared" si="14" ref="D55:F58">SUMIF($C$22:$C$31,$C55,D$22:D$31)+SUMIF($J$22:$J$31,$C55,K$22:K$31)</f>
        <v>6</v>
      </c>
      <c r="E55">
        <f t="shared" si="14"/>
        <v>20</v>
      </c>
      <c r="F55">
        <f t="shared" si="14"/>
        <v>3</v>
      </c>
      <c r="G55" s="4" t="str">
        <f>IF(E55=0,"-",TEXT(INT(D55/E55*$C$12)/$C$12,$C$11))</f>
        <v>0,30</v>
      </c>
      <c r="H55">
        <f>SUMIF($C$22:$C$31,$C55,H$22:H$31)+SUMIF($J$22:$J$31,$C55,O$22:O$31)</f>
        <v>0</v>
      </c>
      <c r="I55" s="6">
        <f>IF(H55&gt;0,VALUE(G55),0)</f>
        <v>0</v>
      </c>
    </row>
    <row r="56" spans="1:9" ht="12.75">
      <c r="A56">
        <v>2</v>
      </c>
      <c r="B56" t="str">
        <f>VLOOKUP(A56,$A$15:$E$19,5,FALSE)</f>
        <v>Löwe</v>
      </c>
      <c r="C56">
        <f>10*A54+A56</f>
        <v>42</v>
      </c>
      <c r="D56">
        <f t="shared" si="14"/>
        <v>5</v>
      </c>
      <c r="E56">
        <f t="shared" si="14"/>
        <v>20</v>
      </c>
      <c r="F56">
        <f t="shared" si="14"/>
        <v>1</v>
      </c>
      <c r="G56" s="4" t="str">
        <f>IF(E56=0,"-",TEXT(INT(D56/E56*$C$12)/$C$12,$C$11))</f>
        <v>0,25</v>
      </c>
      <c r="H56">
        <f>SUMIF($C$22:$C$31,$C56,H$22:H$31)+SUMIF($J$22:$J$31,$C56,O$22:O$31)</f>
        <v>0</v>
      </c>
      <c r="I56" s="6">
        <f>IF(H56&gt;0,MAX(I55,VALUE(G56)),I55)</f>
        <v>0</v>
      </c>
    </row>
    <row r="57" spans="1:9" ht="12.75">
      <c r="A57">
        <v>3</v>
      </c>
      <c r="B57" t="str">
        <f>VLOOKUP(A57,$A$15:$E$19,5,FALSE)</f>
        <v>Assmann</v>
      </c>
      <c r="C57">
        <f>10*A54+A57</f>
        <v>43</v>
      </c>
      <c r="D57">
        <f t="shared" si="14"/>
        <v>6</v>
      </c>
      <c r="E57">
        <f t="shared" si="14"/>
        <v>20</v>
      </c>
      <c r="F57">
        <f t="shared" si="14"/>
        <v>2</v>
      </c>
      <c r="G57" s="4" t="str">
        <f>IF(E57=0,"-",TEXT(INT(D57/E57*$C$12)/$C$12,$C$11))</f>
        <v>0,30</v>
      </c>
      <c r="H57">
        <f>SUMIF($C$22:$C$31,$C57,H$22:H$31)+SUMIF($J$22:$J$31,$C57,O$22:O$31)</f>
        <v>0</v>
      </c>
      <c r="I57" s="6">
        <f>IF(H57&gt;0,MAX(I56,VALUE(G57)),I56)</f>
        <v>0</v>
      </c>
    </row>
    <row r="58" spans="1:9" ht="12.75">
      <c r="A58">
        <v>5</v>
      </c>
      <c r="B58" t="str">
        <f>VLOOKUP(A58,$A$15:$E$19,5,FALSE)</f>
        <v>Gehrig</v>
      </c>
      <c r="C58">
        <f>10*A54+A58</f>
        <v>45</v>
      </c>
      <c r="D58">
        <f t="shared" si="14"/>
        <v>3</v>
      </c>
      <c r="E58">
        <f t="shared" si="14"/>
        <v>20</v>
      </c>
      <c r="F58">
        <f t="shared" si="14"/>
        <v>1</v>
      </c>
      <c r="G58" s="4" t="str">
        <f>IF(E58=0,"-",TEXT(INT(D58/E58*$C$12)/$C$12,$C$11))</f>
        <v>0,15</v>
      </c>
      <c r="H58">
        <f>SUMIF($C$22:$C$31,$C58,H$22:H$31)+SUMIF($J$22:$J$31,$C58,O$22:O$31)</f>
        <v>0</v>
      </c>
      <c r="I58" s="6">
        <f>IF(H58&gt;0,MAX(I57,VALUE(G58)),I57)</f>
        <v>0</v>
      </c>
    </row>
    <row r="59" spans="3:10" ht="12.75">
      <c r="C59">
        <f>A54</f>
        <v>4</v>
      </c>
      <c r="D59">
        <f>SUM(D55:D58)</f>
        <v>20</v>
      </c>
      <c r="E59">
        <f>SUM(E55:E58)</f>
        <v>80</v>
      </c>
      <c r="F59">
        <f>MAX(F55:F58)</f>
        <v>3</v>
      </c>
      <c r="G59" s="4" t="str">
        <f>IF(E59=0,"-",TEXT(INT(D59/E59*$C$12)/$C$12,$C$11))</f>
        <v>0,25</v>
      </c>
      <c r="H59">
        <f>SUM(H55:H58)</f>
        <v>0</v>
      </c>
      <c r="I59" t="str">
        <f>IF(I58&gt;0,TEXT(I58,C$11),"-")</f>
        <v>-</v>
      </c>
      <c r="J59" s="1">
        <f>COUNTIF(E55:E58,"&lt;&gt;0")*2-H59</f>
        <v>8</v>
      </c>
    </row>
    <row r="60" spans="7:10" ht="12.75">
      <c r="G60" s="4"/>
      <c r="J60" s="1"/>
    </row>
    <row r="61" spans="1:9" ht="12.75">
      <c r="A61">
        <v>5</v>
      </c>
      <c r="B61" t="str">
        <f>VLOOKUP(A61,$A$15:$E$19,5,FALSE)</f>
        <v>Gehrig</v>
      </c>
      <c r="C61" t="s">
        <v>22</v>
      </c>
      <c r="D61" t="s">
        <v>17</v>
      </c>
      <c r="E61" t="s">
        <v>18</v>
      </c>
      <c r="F61" t="s">
        <v>19</v>
      </c>
      <c r="G61" t="s">
        <v>23</v>
      </c>
      <c r="H61" t="s">
        <v>24</v>
      </c>
      <c r="I61" t="s">
        <v>27</v>
      </c>
    </row>
    <row r="62" spans="1:9" ht="12.75">
      <c r="A62">
        <v>1</v>
      </c>
      <c r="B62" t="str">
        <f>VLOOKUP(A62,$A$15:$E$19,5,FALSE)</f>
        <v>Ramge</v>
      </c>
      <c r="C62">
        <f>10*A61+A62</f>
        <v>51</v>
      </c>
      <c r="D62">
        <f aca="true" t="shared" si="15" ref="D62:F65">SUMIF($C$22:$C$31,$C62,D$22:D$31)+SUMIF($J$22:$J$31,$C62,K$22:K$31)</f>
        <v>18</v>
      </c>
      <c r="E62">
        <f t="shared" si="15"/>
        <v>20</v>
      </c>
      <c r="F62">
        <f t="shared" si="15"/>
        <v>4</v>
      </c>
      <c r="G62" s="4" t="str">
        <f>IF(E62=0,"-",TEXT(INT(D62/E62*$C$12)/$C$12,$C$11))</f>
        <v>0,90</v>
      </c>
      <c r="H62">
        <f>SUMIF($C$22:$C$31,$C62,H$22:H$31)+SUMIF($J$22:$J$31,$C62,O$22:O$31)</f>
        <v>0</v>
      </c>
      <c r="I62" s="6">
        <f>IF(H62&gt;0,VALUE(G62),0)</f>
        <v>0</v>
      </c>
    </row>
    <row r="63" spans="1:9" ht="12.75">
      <c r="A63">
        <v>2</v>
      </c>
      <c r="B63" t="str">
        <f>VLOOKUP(A63,$A$15:$E$19,5,FALSE)</f>
        <v>Löwe</v>
      </c>
      <c r="C63">
        <f>10*A61+A63</f>
        <v>52</v>
      </c>
      <c r="D63">
        <f t="shared" si="15"/>
        <v>22</v>
      </c>
      <c r="E63">
        <f t="shared" si="15"/>
        <v>20</v>
      </c>
      <c r="F63">
        <f t="shared" si="15"/>
        <v>5</v>
      </c>
      <c r="G63" s="4" t="str">
        <f>IF(E63=0,"-",TEXT(INT(D63/E63*$C$12)/$C$12,$C$11))</f>
        <v>1,10</v>
      </c>
      <c r="H63">
        <f>SUMIF($C$22:$C$31,$C63,H$22:H$31)+SUMIF($J$22:$J$31,$C63,O$22:O$31)</f>
        <v>0</v>
      </c>
      <c r="I63" s="6">
        <f>IF(H63&gt;0,MAX(I62,VALUE(G63)),I62)</f>
        <v>0</v>
      </c>
    </row>
    <row r="64" spans="1:9" ht="12.75">
      <c r="A64">
        <v>3</v>
      </c>
      <c r="B64" t="str">
        <f>VLOOKUP(A64,$A$15:$E$19,5,FALSE)</f>
        <v>Assmann</v>
      </c>
      <c r="C64">
        <f>10*A61+A64</f>
        <v>53</v>
      </c>
      <c r="D64">
        <f t="shared" si="15"/>
        <v>18</v>
      </c>
      <c r="E64">
        <f t="shared" si="15"/>
        <v>20</v>
      </c>
      <c r="F64">
        <f t="shared" si="15"/>
        <v>5</v>
      </c>
      <c r="G64" s="4" t="str">
        <f>IF(E64=0,"-",TEXT(INT(D64/E64*$C$12)/$C$12,$C$11))</f>
        <v>0,90</v>
      </c>
      <c r="H64">
        <f>SUMIF($C$22:$C$31,$C64,H$22:H$31)+SUMIF($J$22:$J$31,$C64,O$22:O$31)</f>
        <v>0</v>
      </c>
      <c r="I64" s="6">
        <f>IF(H64&gt;0,MAX(I63,VALUE(G64)),I63)</f>
        <v>0</v>
      </c>
    </row>
    <row r="65" spans="1:9" ht="12.75">
      <c r="A65">
        <v>4</v>
      </c>
      <c r="B65" t="str">
        <f>VLOOKUP(A65,$A$15:$E$19,5,FALSE)</f>
        <v>Krieger</v>
      </c>
      <c r="C65">
        <f>10*A61+A65</f>
        <v>54</v>
      </c>
      <c r="D65">
        <f t="shared" si="15"/>
        <v>21</v>
      </c>
      <c r="E65">
        <f t="shared" si="15"/>
        <v>20</v>
      </c>
      <c r="F65">
        <f t="shared" si="15"/>
        <v>4</v>
      </c>
      <c r="G65" s="4" t="str">
        <f>IF(E65=0,"-",TEXT(INT(D65/E65*$C$12)/$C$12,$C$11))</f>
        <v>1,05</v>
      </c>
      <c r="H65">
        <f>SUMIF($C$22:$C$31,$C65,H$22:H$31)+SUMIF($J$22:$J$31,$C65,O$22:O$31)</f>
        <v>2</v>
      </c>
      <c r="I65" s="6">
        <f>IF(H65&gt;0,MAX(I64,VALUE(G65)),I64)</f>
        <v>1.05</v>
      </c>
    </row>
    <row r="66" spans="3:10" ht="12.75">
      <c r="C66">
        <f>A61</f>
        <v>5</v>
      </c>
      <c r="D66">
        <f>SUM(D62:D65)</f>
        <v>79</v>
      </c>
      <c r="E66">
        <f>SUM(E62:E65)</f>
        <v>80</v>
      </c>
      <c r="F66">
        <f>MAX(F62:F65)</f>
        <v>5</v>
      </c>
      <c r="G66" s="4" t="str">
        <f>IF(E66=0,"-",TEXT(INT(D66/E66*$C$12)/$C$12,$C$11))</f>
        <v>0,98</v>
      </c>
      <c r="H66">
        <f>SUM(H62:H65)</f>
        <v>2</v>
      </c>
      <c r="I66" t="str">
        <f>IF(I65&gt;0,TEXT(I65,C$11),"-")</f>
        <v>1,05</v>
      </c>
      <c r="J66" s="1">
        <f>COUNTIF(E62:E65,"&lt;&gt;0")*2-H66</f>
        <v>6</v>
      </c>
    </row>
    <row r="67" spans="7:10" ht="12.75">
      <c r="G67" s="4"/>
      <c r="J67" s="1"/>
    </row>
    <row r="68" spans="1:16" ht="12.75">
      <c r="A68" s="1" t="s">
        <v>4</v>
      </c>
      <c r="B68" s="1" t="s">
        <v>5</v>
      </c>
      <c r="C68" s="1" t="s">
        <v>6</v>
      </c>
      <c r="D68" s="1" t="s">
        <v>28</v>
      </c>
      <c r="E68" s="1" t="s">
        <v>17</v>
      </c>
      <c r="F68" s="1" t="s">
        <v>18</v>
      </c>
      <c r="G68" s="1" t="s">
        <v>23</v>
      </c>
      <c r="H68" s="1" t="s">
        <v>19</v>
      </c>
      <c r="I68" s="1" t="s">
        <v>29</v>
      </c>
      <c r="J68" s="1" t="s">
        <v>30</v>
      </c>
      <c r="K68" s="1" t="s">
        <v>9</v>
      </c>
      <c r="L68" s="1" t="s">
        <v>31</v>
      </c>
      <c r="M68" s="1" t="s">
        <v>4</v>
      </c>
      <c r="N68" s="1" t="s">
        <v>38</v>
      </c>
      <c r="O68" s="1"/>
      <c r="P68" s="1"/>
    </row>
    <row r="69" spans="1:14" ht="12.75">
      <c r="A69">
        <v>1</v>
      </c>
      <c r="B69" t="str">
        <f aca="true" t="shared" si="16" ref="B69:C73">B15</f>
        <v>Ramge,Michael</v>
      </c>
      <c r="C69" t="str">
        <f t="shared" si="16"/>
        <v>BC Hilden</v>
      </c>
      <c r="D69">
        <f>VLOOKUP($A69,$C$38:$J$67,6,FALSE)</f>
        <v>8</v>
      </c>
      <c r="E69">
        <f>VLOOKUP($A69,$C$38:$J$67,2,FALSE)</f>
        <v>278</v>
      </c>
      <c r="F69">
        <f>VLOOKUP($A69,$C$38:$J$67,3,FALSE)</f>
        <v>80</v>
      </c>
      <c r="G69" t="str">
        <f>VLOOKUP($A69,$C$38:$J$67,5,FALSE)</f>
        <v>3,47</v>
      </c>
      <c r="H69">
        <f>VLOOKUP($A69,$C$38:$J$67,4,FALSE)</f>
        <v>22</v>
      </c>
      <c r="I69" t="str">
        <f>VLOOKUP($A69,$C$38:$J$67,7,FALSE)</f>
        <v>4,55</v>
      </c>
      <c r="J69">
        <f>VLOOKUP($A69,$C$38:$J$67,8,FALSE)</f>
        <v>0</v>
      </c>
      <c r="K69">
        <f>F15</f>
        <v>1</v>
      </c>
      <c r="L69" s="7">
        <f>(14-D69)*100+J69+K69/1000000-IF(G69&lt;&gt;"-",G69,0)/1000</f>
        <v>599.996531</v>
      </c>
      <c r="M69">
        <f>A69</f>
        <v>1</v>
      </c>
      <c r="N69">
        <f>VLOOKUP(M69,K$76:L$80,2,FALSE)</f>
        <v>1</v>
      </c>
    </row>
    <row r="70" spans="1:14" ht="12.75">
      <c r="A70">
        <v>2</v>
      </c>
      <c r="B70" t="str">
        <f t="shared" si="16"/>
        <v>Löwe , Tom</v>
      </c>
      <c r="C70" t="str">
        <f t="shared" si="16"/>
        <v>BF Loberich</v>
      </c>
      <c r="D70">
        <f>VLOOKUP($A70,$C$38:$J$67,6,FALSE)</f>
        <v>6</v>
      </c>
      <c r="E70">
        <f>VLOOKUP($A70,$C$38:$J$67,2,FALSE)</f>
        <v>302</v>
      </c>
      <c r="F70">
        <f>VLOOKUP($A70,$C$38:$J$67,3,FALSE)</f>
        <v>80</v>
      </c>
      <c r="G70" t="str">
        <f>VLOOKUP($A70,$C$38:$J$67,5,FALSE)</f>
        <v>3,77</v>
      </c>
      <c r="H70">
        <f>VLOOKUP($A70,$C$38:$J$67,4,FALSE)</f>
        <v>27</v>
      </c>
      <c r="I70" t="str">
        <f>VLOOKUP($A70,$C$38:$J$67,7,FALSE)</f>
        <v>5,95</v>
      </c>
      <c r="J70">
        <f>VLOOKUP($A70,$C$38:$J$67,8,FALSE)</f>
        <v>2</v>
      </c>
      <c r="K70">
        <f>F16</f>
        <v>2</v>
      </c>
      <c r="L70" s="7">
        <f>(14-D70)*100+J70+K70/1000000-IF(G70&lt;&gt;"-",G70,0)/1000</f>
        <v>801.996232</v>
      </c>
      <c r="M70">
        <f>A70</f>
        <v>2</v>
      </c>
      <c r="N70">
        <f>VLOOKUP(M70,K$76:L$80,2,FALSE)</f>
        <v>2</v>
      </c>
    </row>
    <row r="71" spans="1:14" ht="12.75">
      <c r="A71">
        <v>3</v>
      </c>
      <c r="B71" t="str">
        <f t="shared" si="16"/>
        <v>Assmann, Andreas</v>
      </c>
      <c r="C71" t="str">
        <f t="shared" si="16"/>
        <v>BC Hilden</v>
      </c>
      <c r="D71">
        <f>VLOOKUP($A71,$C$38:$J$67,6,FALSE)</f>
        <v>4</v>
      </c>
      <c r="E71">
        <f>VLOOKUP($A71,$C$38:$J$67,2,FALSE)</f>
        <v>205</v>
      </c>
      <c r="F71">
        <f>VLOOKUP($A71,$C$38:$J$67,3,FALSE)</f>
        <v>80</v>
      </c>
      <c r="G71" t="str">
        <f>VLOOKUP($A71,$C$38:$J$67,5,FALSE)</f>
        <v>2,56</v>
      </c>
      <c r="H71">
        <f>VLOOKUP($A71,$C$38:$J$67,4,FALSE)</f>
        <v>16</v>
      </c>
      <c r="I71" t="str">
        <f>VLOOKUP($A71,$C$38:$J$67,7,FALSE)</f>
        <v>3,70</v>
      </c>
      <c r="J71">
        <f>VLOOKUP($A71,$C$38:$J$67,8,FALSE)</f>
        <v>4</v>
      </c>
      <c r="K71">
        <f>F17</f>
        <v>3</v>
      </c>
      <c r="L71" s="7">
        <f>(14-D71)*100+J71+K71/1000000-IF(G71&lt;&gt;"-",G71,0)/1000</f>
        <v>1003.997443</v>
      </c>
      <c r="M71">
        <f>A71</f>
        <v>3</v>
      </c>
      <c r="N71">
        <f>VLOOKUP(M71,K$76:L$80,2,FALSE)</f>
        <v>3</v>
      </c>
    </row>
    <row r="72" spans="1:14" ht="12.75">
      <c r="A72">
        <v>4</v>
      </c>
      <c r="B72" t="str">
        <f t="shared" si="16"/>
        <v>Krieger, Hagen</v>
      </c>
      <c r="C72" t="str">
        <f t="shared" si="16"/>
        <v>GW Asberg</v>
      </c>
      <c r="D72">
        <f>VLOOKUP($A72,$C$38:$J$67,6,FALSE)</f>
        <v>0</v>
      </c>
      <c r="E72">
        <f>VLOOKUP($A72,$C$38:$J$67,2,FALSE)</f>
        <v>20</v>
      </c>
      <c r="F72">
        <f>VLOOKUP($A72,$C$38:$J$67,3,FALSE)</f>
        <v>80</v>
      </c>
      <c r="G72" t="str">
        <f>VLOOKUP($A72,$C$38:$J$67,5,FALSE)</f>
        <v>0,25</v>
      </c>
      <c r="H72">
        <f>VLOOKUP($A72,$C$38:$J$67,4,FALSE)</f>
        <v>3</v>
      </c>
      <c r="I72" t="str">
        <f>VLOOKUP($A72,$C$38:$J$67,7,FALSE)</f>
        <v>-</v>
      </c>
      <c r="J72">
        <f>VLOOKUP($A72,$C$38:$J$67,8,FALSE)</f>
        <v>8</v>
      </c>
      <c r="K72">
        <f>F18</f>
        <v>4</v>
      </c>
      <c r="L72" s="7">
        <f>(14-D72)*100+J72+K72/1000000-IF(G72&lt;&gt;"-",G72,0)/1000</f>
        <v>1407.999754</v>
      </c>
      <c r="M72">
        <f>A72</f>
        <v>4</v>
      </c>
      <c r="N72">
        <f>VLOOKUP(M72,K$76:L$80,2,FALSE)</f>
        <v>5</v>
      </c>
    </row>
    <row r="73" spans="1:14" ht="12.75">
      <c r="A73">
        <v>5</v>
      </c>
      <c r="B73" t="str">
        <f t="shared" si="16"/>
        <v>Gehrig, Tobias</v>
      </c>
      <c r="C73" t="str">
        <f t="shared" si="16"/>
        <v>BC Essen Ost</v>
      </c>
      <c r="D73">
        <f>VLOOKUP($A73,$C$38:$J$67,6,FALSE)</f>
        <v>2</v>
      </c>
      <c r="E73">
        <f>VLOOKUP($A73,$C$38:$J$67,2,FALSE)</f>
        <v>79</v>
      </c>
      <c r="F73">
        <f>VLOOKUP($A73,$C$38:$J$67,3,FALSE)</f>
        <v>80</v>
      </c>
      <c r="G73" t="str">
        <f>VLOOKUP($A73,$C$38:$J$67,5,FALSE)</f>
        <v>0,98</v>
      </c>
      <c r="H73">
        <f>VLOOKUP($A73,$C$38:$J$67,4,FALSE)</f>
        <v>5</v>
      </c>
      <c r="I73" t="str">
        <f>VLOOKUP($A73,$C$38:$J$67,7,FALSE)</f>
        <v>1,05</v>
      </c>
      <c r="J73">
        <f>VLOOKUP($A73,$C$38:$J$67,8,FALSE)</f>
        <v>6</v>
      </c>
      <c r="K73">
        <f>F19</f>
        <v>5</v>
      </c>
      <c r="L73" s="7">
        <f>(14-D73)*100+J73+K73/1000000-IF(G73&lt;&gt;"-",G73,0)/1000</f>
        <v>1205.999025</v>
      </c>
      <c r="M73">
        <f>A73</f>
        <v>5</v>
      </c>
      <c r="N73">
        <f>VLOOKUP(M73,K$76:L$80,2,FALSE)</f>
        <v>4</v>
      </c>
    </row>
    <row r="75" spans="1:13" ht="12.75">
      <c r="A75" s="1" t="s">
        <v>32</v>
      </c>
      <c r="B75" s="1" t="s">
        <v>5</v>
      </c>
      <c r="C75" s="1" t="s">
        <v>6</v>
      </c>
      <c r="D75" s="1" t="s">
        <v>28</v>
      </c>
      <c r="E75" s="1" t="s">
        <v>17</v>
      </c>
      <c r="F75" s="1" t="s">
        <v>18</v>
      </c>
      <c r="G75" s="1" t="s">
        <v>23</v>
      </c>
      <c r="H75" s="1" t="s">
        <v>19</v>
      </c>
      <c r="I75" s="1" t="s">
        <v>29</v>
      </c>
      <c r="K75" t="s">
        <v>33</v>
      </c>
      <c r="L75" t="s">
        <v>32</v>
      </c>
      <c r="M75" t="s">
        <v>29</v>
      </c>
    </row>
    <row r="76" spans="1:13" ht="12.75">
      <c r="A76">
        <v>1</v>
      </c>
      <c r="B76" t="str">
        <f>VLOOKUP($K76,$A$69:$I$73,2,FALSE)</f>
        <v>Ramge,Michael</v>
      </c>
      <c r="C76" t="str">
        <f>VLOOKUP($K76,$A$69:$I$73,3,FALSE)</f>
        <v>BC Hilden</v>
      </c>
      <c r="D76" s="1" t="str">
        <f>CONCATENATE(VLOOKUP(K76,A$69:J$73,4,FALSE)," : ",VLOOKUP(K76,A$69:J$73,10,FALSE))</f>
        <v>8 : 0</v>
      </c>
      <c r="E76">
        <f>VLOOKUP($K76,$A$69:$I$73,5,FALSE)</f>
        <v>278</v>
      </c>
      <c r="F76">
        <f>VLOOKUP($K76,$A$69:$I$73,6,FALSE)</f>
        <v>80</v>
      </c>
      <c r="G76" t="str">
        <f>VLOOKUP($K76,$A$69:$I$73,7,FALSE)</f>
        <v>3,47</v>
      </c>
      <c r="H76">
        <f>VLOOKUP($K76,$A$69:$I$73,8,FALSE)</f>
        <v>22</v>
      </c>
      <c r="I76" t="str">
        <f>VLOOKUP($K76,$A$69:$I$73,9,FALSE)</f>
        <v>4,55</v>
      </c>
      <c r="K76">
        <f>VLOOKUP(SMALL(L$69:L$73,L76),L$69:M$73,2,FALSE)</f>
        <v>1</v>
      </c>
      <c r="L76">
        <f>A76</f>
        <v>1</v>
      </c>
      <c r="M76">
        <f>IF(I76&lt;&gt;"-",VALUE(I76),0)</f>
        <v>4.55</v>
      </c>
    </row>
    <row r="77" spans="1:13" ht="12.75">
      <c r="A77">
        <v>2</v>
      </c>
      <c r="B77" t="str">
        <f>VLOOKUP($K77,$A$69:$I$73,2,FALSE)</f>
        <v>Löwe , Tom</v>
      </c>
      <c r="C77" t="str">
        <f>VLOOKUP($K77,$A$69:$I$73,3,FALSE)</f>
        <v>BF Loberich</v>
      </c>
      <c r="D77" s="1" t="str">
        <f>CONCATENATE(VLOOKUP(K77,A$69:J$73,4,FALSE)," : ",VLOOKUP(K77,A$69:J$73,10,FALSE))</f>
        <v>6 : 2</v>
      </c>
      <c r="E77">
        <f>VLOOKUP($K77,$A$69:$I$73,5,FALSE)</f>
        <v>302</v>
      </c>
      <c r="F77">
        <f>VLOOKUP($K77,$A$69:$I$73,6,FALSE)</f>
        <v>80</v>
      </c>
      <c r="G77" t="str">
        <f>VLOOKUP($K77,$A$69:$I$73,7,FALSE)</f>
        <v>3,77</v>
      </c>
      <c r="H77">
        <f>VLOOKUP($K77,$A$69:$I$73,8,FALSE)</f>
        <v>27</v>
      </c>
      <c r="I77" t="str">
        <f>VLOOKUP($K77,$A$69:$I$73,9,FALSE)</f>
        <v>5,95</v>
      </c>
      <c r="K77">
        <f>VLOOKUP(SMALL(L$69:L$73,L77),L$69:M$73,2,FALSE)</f>
        <v>2</v>
      </c>
      <c r="L77">
        <f>A77</f>
        <v>2</v>
      </c>
      <c r="M77">
        <f>IF(I77&lt;&gt;"-",VALUE(I77),0)</f>
        <v>5.95</v>
      </c>
    </row>
    <row r="78" spans="1:13" ht="12.75">
      <c r="A78">
        <v>3</v>
      </c>
      <c r="B78" t="str">
        <f>VLOOKUP($K78,$A$69:$I$73,2,FALSE)</f>
        <v>Assmann, Andreas</v>
      </c>
      <c r="C78" t="str">
        <f>VLOOKUP($K78,$A$69:$I$73,3,FALSE)</f>
        <v>BC Hilden</v>
      </c>
      <c r="D78" s="1" t="str">
        <f>CONCATENATE(VLOOKUP(K78,A$69:J$73,4,FALSE)," : ",VLOOKUP(K78,A$69:J$73,10,FALSE))</f>
        <v>4 : 4</v>
      </c>
      <c r="E78">
        <f>VLOOKUP($K78,$A$69:$I$73,5,FALSE)</f>
        <v>205</v>
      </c>
      <c r="F78">
        <f>VLOOKUP($K78,$A$69:$I$73,6,FALSE)</f>
        <v>80</v>
      </c>
      <c r="G78" t="str">
        <f>VLOOKUP($K78,$A$69:$I$73,7,FALSE)</f>
        <v>2,56</v>
      </c>
      <c r="H78">
        <f>VLOOKUP($K78,$A$69:$I$73,8,FALSE)</f>
        <v>16</v>
      </c>
      <c r="I78" t="str">
        <f>VLOOKUP($K78,$A$69:$I$73,9,FALSE)</f>
        <v>3,70</v>
      </c>
      <c r="K78">
        <f>VLOOKUP(SMALL(L$69:L$73,L78),L$69:M$73,2,FALSE)</f>
        <v>3</v>
      </c>
      <c r="L78">
        <f>A78</f>
        <v>3</v>
      </c>
      <c r="M78">
        <f>IF(I78&lt;&gt;"-",VALUE(I78),0)</f>
        <v>3.7</v>
      </c>
    </row>
    <row r="79" spans="1:13" ht="12.75">
      <c r="A79">
        <v>4</v>
      </c>
      <c r="B79" t="str">
        <f>VLOOKUP($K79,$A$69:$I$73,2,FALSE)</f>
        <v>Gehrig, Tobias</v>
      </c>
      <c r="C79" t="str">
        <f>VLOOKUP($K79,$A$69:$I$73,3,FALSE)</f>
        <v>BC Essen Ost</v>
      </c>
      <c r="D79" s="1" t="str">
        <f>CONCATENATE(VLOOKUP(K79,A$69:J$73,4,FALSE)," : ",VLOOKUP(K79,A$69:J$73,10,FALSE))</f>
        <v>2 : 6</v>
      </c>
      <c r="E79">
        <f>VLOOKUP($K79,$A$69:$I$73,5,FALSE)</f>
        <v>79</v>
      </c>
      <c r="F79">
        <f>VLOOKUP($K79,$A$69:$I$73,6,FALSE)</f>
        <v>80</v>
      </c>
      <c r="G79" t="str">
        <f>VLOOKUP($K79,$A$69:$I$73,7,FALSE)</f>
        <v>0,98</v>
      </c>
      <c r="H79">
        <f>VLOOKUP($K79,$A$69:$I$73,8,FALSE)</f>
        <v>5</v>
      </c>
      <c r="I79" t="str">
        <f>VLOOKUP($K79,$A$69:$I$73,9,FALSE)</f>
        <v>1,05</v>
      </c>
      <c r="K79">
        <f>VLOOKUP(SMALL(L$69:L$73,L79),L$69:M$73,2,FALSE)</f>
        <v>5</v>
      </c>
      <c r="L79">
        <f>A79</f>
        <v>4</v>
      </c>
      <c r="M79">
        <f>IF(I79&lt;&gt;"-",VALUE(I79),0)</f>
        <v>1.05</v>
      </c>
    </row>
    <row r="80" spans="1:13" ht="12.75">
      <c r="A80">
        <v>5</v>
      </c>
      <c r="B80" t="str">
        <f>VLOOKUP($K80,$A$69:$I$73,2,FALSE)</f>
        <v>Krieger, Hagen</v>
      </c>
      <c r="C80" t="str">
        <f>VLOOKUP($K80,$A$69:$I$73,3,FALSE)</f>
        <v>GW Asberg</v>
      </c>
      <c r="D80" s="1" t="str">
        <f>CONCATENATE(VLOOKUP(K80,A$69:J$73,4,FALSE)," : ",VLOOKUP(K80,A$69:J$73,10,FALSE))</f>
        <v>0 : 8</v>
      </c>
      <c r="E80">
        <f>VLOOKUP($K80,$A$69:$I$73,5,FALSE)</f>
        <v>20</v>
      </c>
      <c r="F80">
        <f>VLOOKUP($K80,$A$69:$I$73,6,FALSE)</f>
        <v>80</v>
      </c>
      <c r="G80" t="str">
        <f>VLOOKUP($K80,$A$69:$I$73,7,FALSE)</f>
        <v>0,25</v>
      </c>
      <c r="H80">
        <f>VLOOKUP($K80,$A$69:$I$73,8,FALSE)</f>
        <v>3</v>
      </c>
      <c r="I80" t="str">
        <f>VLOOKUP($K80,$A$69:$I$73,9,FALSE)</f>
        <v>-</v>
      </c>
      <c r="K80">
        <f>VLOOKUP(SMALL(L$69:L$73,L80),L$69:M$73,2,FALSE)</f>
        <v>4</v>
      </c>
      <c r="L80">
        <f>A80</f>
        <v>5</v>
      </c>
      <c r="M80">
        <f>IF(I80&lt;&gt;"-",VALUE(I80),0)</f>
        <v>0</v>
      </c>
    </row>
    <row r="81" ht="12.75">
      <c r="M81" t="str">
        <f>TEXT(MAX(M76:M80),C11)</f>
        <v>5,95</v>
      </c>
    </row>
    <row r="83" spans="2:11" ht="12.75">
      <c r="B83">
        <v>1</v>
      </c>
      <c r="C83">
        <v>1</v>
      </c>
      <c r="D83">
        <v>2</v>
      </c>
      <c r="E83">
        <v>2</v>
      </c>
      <c r="F83">
        <v>3</v>
      </c>
      <c r="G83">
        <v>3</v>
      </c>
      <c r="H83">
        <v>4</v>
      </c>
      <c r="I83">
        <v>4</v>
      </c>
      <c r="J83">
        <v>5</v>
      </c>
      <c r="K83">
        <v>5</v>
      </c>
    </row>
    <row r="84" spans="1:11" ht="12.75">
      <c r="A84">
        <v>1</v>
      </c>
      <c r="D84">
        <f aca="true" t="shared" si="17" ref="C84:K93">$A84*10+D$83</f>
        <v>12</v>
      </c>
      <c r="E84">
        <f t="shared" si="17"/>
        <v>12</v>
      </c>
      <c r="F84">
        <f t="shared" si="17"/>
        <v>13</v>
      </c>
      <c r="G84">
        <f t="shared" si="17"/>
        <v>13</v>
      </c>
      <c r="H84">
        <f t="shared" si="17"/>
        <v>14</v>
      </c>
      <c r="I84">
        <f t="shared" si="17"/>
        <v>14</v>
      </c>
      <c r="J84">
        <f t="shared" si="17"/>
        <v>15</v>
      </c>
      <c r="K84">
        <f t="shared" si="17"/>
        <v>15</v>
      </c>
    </row>
    <row r="85" spans="1:11" ht="12.75">
      <c r="A85">
        <v>1</v>
      </c>
      <c r="D85">
        <f t="shared" si="17"/>
        <v>12</v>
      </c>
      <c r="E85">
        <f t="shared" si="17"/>
        <v>12</v>
      </c>
      <c r="F85">
        <f t="shared" si="17"/>
        <v>13</v>
      </c>
      <c r="G85">
        <f t="shared" si="17"/>
        <v>13</v>
      </c>
      <c r="H85">
        <f t="shared" si="17"/>
        <v>14</v>
      </c>
      <c r="I85">
        <f t="shared" si="17"/>
        <v>14</v>
      </c>
      <c r="J85">
        <f t="shared" si="17"/>
        <v>15</v>
      </c>
      <c r="K85">
        <f t="shared" si="17"/>
        <v>15</v>
      </c>
    </row>
    <row r="86" spans="1:11" ht="12.75">
      <c r="A86">
        <v>2</v>
      </c>
      <c r="B86">
        <f aca="true" t="shared" si="18" ref="B86:B93">$A86*10+B$83</f>
        <v>21</v>
      </c>
      <c r="C86">
        <f t="shared" si="17"/>
        <v>21</v>
      </c>
      <c r="F86">
        <f t="shared" si="17"/>
        <v>23</v>
      </c>
      <c r="G86">
        <f t="shared" si="17"/>
        <v>23</v>
      </c>
      <c r="H86">
        <f t="shared" si="17"/>
        <v>24</v>
      </c>
      <c r="I86">
        <f t="shared" si="17"/>
        <v>24</v>
      </c>
      <c r="J86">
        <f t="shared" si="17"/>
        <v>25</v>
      </c>
      <c r="K86">
        <f t="shared" si="17"/>
        <v>25</v>
      </c>
    </row>
    <row r="87" spans="1:11" ht="12.75">
      <c r="A87">
        <v>2</v>
      </c>
      <c r="B87">
        <f t="shared" si="18"/>
        <v>21</v>
      </c>
      <c r="C87">
        <f t="shared" si="17"/>
        <v>21</v>
      </c>
      <c r="F87">
        <f t="shared" si="17"/>
        <v>23</v>
      </c>
      <c r="G87">
        <f t="shared" si="17"/>
        <v>23</v>
      </c>
      <c r="H87">
        <f t="shared" si="17"/>
        <v>24</v>
      </c>
      <c r="I87">
        <f t="shared" si="17"/>
        <v>24</v>
      </c>
      <c r="J87">
        <f t="shared" si="17"/>
        <v>25</v>
      </c>
      <c r="K87">
        <f t="shared" si="17"/>
        <v>25</v>
      </c>
    </row>
    <row r="88" spans="1:11" ht="12.75">
      <c r="A88">
        <v>3</v>
      </c>
      <c r="B88">
        <f t="shared" si="18"/>
        <v>31</v>
      </c>
      <c r="C88">
        <f t="shared" si="17"/>
        <v>31</v>
      </c>
      <c r="D88">
        <f t="shared" si="17"/>
        <v>32</v>
      </c>
      <c r="E88">
        <f t="shared" si="17"/>
        <v>32</v>
      </c>
      <c r="H88">
        <f t="shared" si="17"/>
        <v>34</v>
      </c>
      <c r="I88">
        <f t="shared" si="17"/>
        <v>34</v>
      </c>
      <c r="J88">
        <f t="shared" si="17"/>
        <v>35</v>
      </c>
      <c r="K88">
        <f t="shared" si="17"/>
        <v>35</v>
      </c>
    </row>
    <row r="89" spans="1:11" ht="12.75">
      <c r="A89">
        <v>3</v>
      </c>
      <c r="B89">
        <f t="shared" si="18"/>
        <v>31</v>
      </c>
      <c r="C89">
        <f t="shared" si="17"/>
        <v>31</v>
      </c>
      <c r="D89">
        <f t="shared" si="17"/>
        <v>32</v>
      </c>
      <c r="E89">
        <f t="shared" si="17"/>
        <v>32</v>
      </c>
      <c r="H89">
        <f t="shared" si="17"/>
        <v>34</v>
      </c>
      <c r="I89">
        <f t="shared" si="17"/>
        <v>34</v>
      </c>
      <c r="J89">
        <f t="shared" si="17"/>
        <v>35</v>
      </c>
      <c r="K89">
        <f t="shared" si="17"/>
        <v>35</v>
      </c>
    </row>
    <row r="90" spans="1:11" ht="12.75">
      <c r="A90">
        <v>4</v>
      </c>
      <c r="B90">
        <f t="shared" si="18"/>
        <v>41</v>
      </c>
      <c r="C90">
        <f t="shared" si="17"/>
        <v>41</v>
      </c>
      <c r="D90">
        <f t="shared" si="17"/>
        <v>42</v>
      </c>
      <c r="E90">
        <f t="shared" si="17"/>
        <v>42</v>
      </c>
      <c r="F90">
        <f t="shared" si="17"/>
        <v>43</v>
      </c>
      <c r="G90">
        <f t="shared" si="17"/>
        <v>43</v>
      </c>
      <c r="J90">
        <f t="shared" si="17"/>
        <v>45</v>
      </c>
      <c r="K90">
        <f t="shared" si="17"/>
        <v>45</v>
      </c>
    </row>
    <row r="91" spans="1:11" ht="12.75">
      <c r="A91">
        <v>4</v>
      </c>
      <c r="B91">
        <f t="shared" si="18"/>
        <v>41</v>
      </c>
      <c r="C91">
        <f t="shared" si="17"/>
        <v>41</v>
      </c>
      <c r="D91">
        <f t="shared" si="17"/>
        <v>42</v>
      </c>
      <c r="E91">
        <f t="shared" si="17"/>
        <v>42</v>
      </c>
      <c r="F91">
        <f t="shared" si="17"/>
        <v>43</v>
      </c>
      <c r="G91">
        <f t="shared" si="17"/>
        <v>43</v>
      </c>
      <c r="J91">
        <f t="shared" si="17"/>
        <v>45</v>
      </c>
      <c r="K91">
        <f t="shared" si="17"/>
        <v>45</v>
      </c>
    </row>
    <row r="92" spans="1:9" ht="12.75">
      <c r="A92">
        <v>5</v>
      </c>
      <c r="B92">
        <f t="shared" si="18"/>
        <v>51</v>
      </c>
      <c r="C92">
        <f t="shared" si="17"/>
        <v>51</v>
      </c>
      <c r="D92">
        <f t="shared" si="17"/>
        <v>52</v>
      </c>
      <c r="E92">
        <f t="shared" si="17"/>
        <v>52</v>
      </c>
      <c r="F92">
        <f t="shared" si="17"/>
        <v>53</v>
      </c>
      <c r="G92">
        <f t="shared" si="17"/>
        <v>53</v>
      </c>
      <c r="H92">
        <f t="shared" si="17"/>
        <v>54</v>
      </c>
      <c r="I92">
        <f t="shared" si="17"/>
        <v>54</v>
      </c>
    </row>
    <row r="93" spans="1:9" ht="12.75">
      <c r="A93">
        <v>5</v>
      </c>
      <c r="B93">
        <f t="shared" si="18"/>
        <v>51</v>
      </c>
      <c r="C93">
        <f t="shared" si="17"/>
        <v>51</v>
      </c>
      <c r="D93">
        <f t="shared" si="17"/>
        <v>52</v>
      </c>
      <c r="E93">
        <f t="shared" si="17"/>
        <v>52</v>
      </c>
      <c r="F93">
        <f t="shared" si="17"/>
        <v>53</v>
      </c>
      <c r="G93">
        <f t="shared" si="17"/>
        <v>53</v>
      </c>
      <c r="H93">
        <f t="shared" si="17"/>
        <v>54</v>
      </c>
      <c r="I93">
        <f t="shared" si="17"/>
        <v>54</v>
      </c>
    </row>
    <row r="95" spans="2:11" ht="12.75">
      <c r="B95">
        <v>1</v>
      </c>
      <c r="C95">
        <v>1</v>
      </c>
      <c r="D95">
        <v>2</v>
      </c>
      <c r="E95">
        <v>2</v>
      </c>
      <c r="F95">
        <v>3</v>
      </c>
      <c r="G95">
        <v>3</v>
      </c>
      <c r="H95">
        <v>4</v>
      </c>
      <c r="I95">
        <v>4</v>
      </c>
      <c r="J95">
        <v>5</v>
      </c>
      <c r="K95">
        <v>5</v>
      </c>
    </row>
    <row r="96" spans="1:11" ht="12.75">
      <c r="A96">
        <v>1</v>
      </c>
      <c r="B96">
        <v>2</v>
      </c>
      <c r="C96">
        <v>3</v>
      </c>
      <c r="D96">
        <v>2</v>
      </c>
      <c r="E96">
        <v>3</v>
      </c>
      <c r="F96">
        <v>2</v>
      </c>
      <c r="G96">
        <v>3</v>
      </c>
      <c r="H96">
        <v>2</v>
      </c>
      <c r="I96">
        <v>3</v>
      </c>
      <c r="J96">
        <v>2</v>
      </c>
      <c r="K96">
        <v>3</v>
      </c>
    </row>
    <row r="97" spans="1:11" ht="12.75">
      <c r="A97">
        <v>1</v>
      </c>
      <c r="B97">
        <v>5</v>
      </c>
      <c r="C97">
        <v>4</v>
      </c>
      <c r="D97">
        <v>5</v>
      </c>
      <c r="E97">
        <v>4</v>
      </c>
      <c r="F97">
        <v>5</v>
      </c>
      <c r="G97">
        <v>4</v>
      </c>
      <c r="H97">
        <v>5</v>
      </c>
      <c r="I97">
        <v>4</v>
      </c>
      <c r="J97">
        <v>5</v>
      </c>
      <c r="K97">
        <v>4</v>
      </c>
    </row>
    <row r="98" spans="1:11" ht="12.75">
      <c r="A98">
        <v>2</v>
      </c>
      <c r="B98">
        <v>2</v>
      </c>
      <c r="C98">
        <v>3</v>
      </c>
      <c r="D98">
        <v>2</v>
      </c>
      <c r="E98">
        <v>3</v>
      </c>
      <c r="F98">
        <v>2</v>
      </c>
      <c r="G98">
        <v>3</v>
      </c>
      <c r="H98">
        <v>2</v>
      </c>
      <c r="I98">
        <v>3</v>
      </c>
      <c r="J98">
        <v>2</v>
      </c>
      <c r="K98">
        <v>3</v>
      </c>
    </row>
    <row r="99" spans="1:11" ht="12.75">
      <c r="A99">
        <v>2</v>
      </c>
      <c r="B99">
        <v>5</v>
      </c>
      <c r="C99">
        <v>4</v>
      </c>
      <c r="D99">
        <v>5</v>
      </c>
      <c r="E99">
        <v>4</v>
      </c>
      <c r="F99">
        <v>5</v>
      </c>
      <c r="G99">
        <v>4</v>
      </c>
      <c r="H99">
        <v>5</v>
      </c>
      <c r="I99">
        <v>4</v>
      </c>
      <c r="J99">
        <v>5</v>
      </c>
      <c r="K99">
        <v>4</v>
      </c>
    </row>
    <row r="100" spans="1:11" ht="12.75">
      <c r="A100">
        <v>3</v>
      </c>
      <c r="B100">
        <v>2</v>
      </c>
      <c r="C100">
        <v>3</v>
      </c>
      <c r="D100">
        <v>2</v>
      </c>
      <c r="E100">
        <v>3</v>
      </c>
      <c r="F100">
        <v>2</v>
      </c>
      <c r="G100">
        <v>3</v>
      </c>
      <c r="H100">
        <v>2</v>
      </c>
      <c r="I100">
        <v>3</v>
      </c>
      <c r="J100">
        <v>2</v>
      </c>
      <c r="K100">
        <v>3</v>
      </c>
    </row>
    <row r="101" spans="1:11" ht="12.75">
      <c r="A101">
        <v>3</v>
      </c>
      <c r="B101">
        <v>5</v>
      </c>
      <c r="C101">
        <v>4</v>
      </c>
      <c r="D101">
        <v>5</v>
      </c>
      <c r="E101">
        <v>4</v>
      </c>
      <c r="F101">
        <v>5</v>
      </c>
      <c r="G101">
        <v>4</v>
      </c>
      <c r="H101">
        <v>5</v>
      </c>
      <c r="I101">
        <v>4</v>
      </c>
      <c r="J101">
        <v>5</v>
      </c>
      <c r="K101">
        <v>4</v>
      </c>
    </row>
    <row r="102" spans="1:11" ht="12.75">
      <c r="A102">
        <v>4</v>
      </c>
      <c r="B102">
        <v>2</v>
      </c>
      <c r="C102">
        <v>3</v>
      </c>
      <c r="D102">
        <v>2</v>
      </c>
      <c r="E102">
        <v>3</v>
      </c>
      <c r="F102">
        <v>2</v>
      </c>
      <c r="G102">
        <v>3</v>
      </c>
      <c r="H102">
        <v>2</v>
      </c>
      <c r="I102">
        <v>3</v>
      </c>
      <c r="J102">
        <v>2</v>
      </c>
      <c r="K102">
        <v>3</v>
      </c>
    </row>
    <row r="103" spans="1:11" ht="12.75">
      <c r="A103">
        <v>4</v>
      </c>
      <c r="B103">
        <v>5</v>
      </c>
      <c r="C103">
        <v>4</v>
      </c>
      <c r="D103">
        <v>5</v>
      </c>
      <c r="E103">
        <v>4</v>
      </c>
      <c r="F103">
        <v>5</v>
      </c>
      <c r="G103">
        <v>4</v>
      </c>
      <c r="H103">
        <v>5</v>
      </c>
      <c r="I103">
        <v>4</v>
      </c>
      <c r="J103">
        <v>5</v>
      </c>
      <c r="K103">
        <v>4</v>
      </c>
    </row>
    <row r="104" spans="1:11" ht="12.75">
      <c r="A104">
        <v>5</v>
      </c>
      <c r="B104">
        <v>2</v>
      </c>
      <c r="C104">
        <v>3</v>
      </c>
      <c r="D104">
        <v>2</v>
      </c>
      <c r="E104">
        <v>3</v>
      </c>
      <c r="F104">
        <v>2</v>
      </c>
      <c r="G104">
        <v>3</v>
      </c>
      <c r="H104">
        <v>2</v>
      </c>
      <c r="I104">
        <v>3</v>
      </c>
      <c r="J104">
        <v>2</v>
      </c>
      <c r="K104">
        <v>3</v>
      </c>
    </row>
    <row r="105" spans="1:11" ht="12.75">
      <c r="A105">
        <v>5</v>
      </c>
      <c r="B105">
        <v>5</v>
      </c>
      <c r="C105">
        <v>4</v>
      </c>
      <c r="D105">
        <v>5</v>
      </c>
      <c r="E105">
        <v>4</v>
      </c>
      <c r="F105">
        <v>5</v>
      </c>
      <c r="G105">
        <v>4</v>
      </c>
      <c r="H105">
        <v>5</v>
      </c>
      <c r="I105">
        <v>4</v>
      </c>
      <c r="J105">
        <v>5</v>
      </c>
      <c r="K105">
        <v>4</v>
      </c>
    </row>
    <row r="107" spans="2:11" ht="12.75">
      <c r="B107">
        <v>1</v>
      </c>
      <c r="C107">
        <v>1</v>
      </c>
      <c r="D107">
        <v>2</v>
      </c>
      <c r="E107">
        <v>2</v>
      </c>
      <c r="F107">
        <v>3</v>
      </c>
      <c r="G107">
        <v>3</v>
      </c>
      <c r="H107">
        <v>4</v>
      </c>
      <c r="I107">
        <v>4</v>
      </c>
      <c r="J107">
        <v>5</v>
      </c>
      <c r="K107">
        <v>5</v>
      </c>
    </row>
    <row r="108" spans="1:11" ht="12.75">
      <c r="A108">
        <v>1</v>
      </c>
      <c r="B108">
        <f aca="true" t="shared" si="19" ref="B108:K108">IF(B84&gt;0,IF(ISERROR(VLOOKUP(B84,$C$22:$G$31,B96,FALSE)),VLOOKUP(B84,$J$22:$N$31,B96,FALSE),VLOOKUP(B84,$C$22:$G$31,B96,FALSE)),"")</f>
      </c>
      <c r="C108">
        <f t="shared" si="19"/>
      </c>
      <c r="D108">
        <f t="shared" si="19"/>
        <v>91</v>
      </c>
      <c r="E108">
        <f t="shared" si="19"/>
        <v>20</v>
      </c>
      <c r="F108">
        <f t="shared" si="19"/>
        <v>83</v>
      </c>
      <c r="G108">
        <f t="shared" si="19"/>
        <v>20</v>
      </c>
      <c r="H108">
        <f t="shared" si="19"/>
        <v>58</v>
      </c>
      <c r="I108">
        <f t="shared" si="19"/>
        <v>20</v>
      </c>
      <c r="J108">
        <f t="shared" si="19"/>
        <v>46</v>
      </c>
      <c r="K108">
        <f t="shared" si="19"/>
        <v>20</v>
      </c>
    </row>
    <row r="109" spans="1:11" ht="12.75">
      <c r="A109">
        <v>1</v>
      </c>
      <c r="B109">
        <f aca="true" t="shared" si="20" ref="B109:K109">IF(B85&gt;0,IF(ISERROR(VLOOKUP(B85,$C$22:$G$31,B97,FALSE)),VLOOKUP(B85,$J$22:$N$31,B97,FALSE),VLOOKUP(B85,$C$22:$G$31,B97,FALSE)),"")</f>
      </c>
      <c r="C109">
        <f t="shared" si="20"/>
      </c>
      <c r="D109" t="str">
        <f t="shared" si="20"/>
        <v>4,55</v>
      </c>
      <c r="E109">
        <f t="shared" si="20"/>
        <v>13</v>
      </c>
      <c r="F109" t="str">
        <f t="shared" si="20"/>
        <v>4,15</v>
      </c>
      <c r="G109">
        <f t="shared" si="20"/>
        <v>22</v>
      </c>
      <c r="H109" t="str">
        <f t="shared" si="20"/>
        <v>2,90</v>
      </c>
      <c r="I109">
        <f t="shared" si="20"/>
        <v>16</v>
      </c>
      <c r="J109" t="str">
        <f t="shared" si="20"/>
        <v>2,30</v>
      </c>
      <c r="K109">
        <f t="shared" si="20"/>
        <v>6</v>
      </c>
    </row>
    <row r="110" spans="1:11" ht="12.75">
      <c r="A110">
        <v>2</v>
      </c>
      <c r="B110">
        <f aca="true" t="shared" si="21" ref="B110:K110">IF(B86&gt;0,IF(ISERROR(VLOOKUP(B86,$C$22:$G$31,B98,FALSE)),VLOOKUP(B86,$J$22:$N$31,B98,FALSE),VLOOKUP(B86,$C$22:$G$31,B98,FALSE)),"")</f>
        <v>62</v>
      </c>
      <c r="C110">
        <f t="shared" si="21"/>
        <v>20</v>
      </c>
      <c r="D110">
        <f t="shared" si="21"/>
      </c>
      <c r="E110">
        <f t="shared" si="21"/>
      </c>
      <c r="F110">
        <f t="shared" si="21"/>
        <v>77</v>
      </c>
      <c r="G110">
        <f t="shared" si="21"/>
        <v>20</v>
      </c>
      <c r="H110">
        <f t="shared" si="21"/>
        <v>44</v>
      </c>
      <c r="I110">
        <f t="shared" si="21"/>
        <v>20</v>
      </c>
      <c r="J110">
        <f t="shared" si="21"/>
        <v>119</v>
      </c>
      <c r="K110">
        <f t="shared" si="21"/>
        <v>20</v>
      </c>
    </row>
    <row r="111" spans="1:11" ht="12.75">
      <c r="A111">
        <v>2</v>
      </c>
      <c r="B111" t="str">
        <f aca="true" t="shared" si="22" ref="B111:K111">IF(B87&gt;0,IF(ISERROR(VLOOKUP(B87,$C$22:$G$31,B99,FALSE)),VLOOKUP(B87,$J$22:$N$31,B99,FALSE),VLOOKUP(B87,$C$22:$G$31,B99,FALSE)),"")</f>
        <v>3,10</v>
      </c>
      <c r="C111">
        <f t="shared" si="22"/>
        <v>17</v>
      </c>
      <c r="D111">
        <f t="shared" si="22"/>
      </c>
      <c r="E111">
        <f t="shared" si="22"/>
      </c>
      <c r="F111" t="str">
        <f t="shared" si="22"/>
        <v>3,85</v>
      </c>
      <c r="G111">
        <f t="shared" si="22"/>
        <v>16</v>
      </c>
      <c r="H111" t="str">
        <f t="shared" si="22"/>
        <v>2,20</v>
      </c>
      <c r="I111">
        <f t="shared" si="22"/>
        <v>9</v>
      </c>
      <c r="J111" t="str">
        <f t="shared" si="22"/>
        <v>5,95</v>
      </c>
      <c r="K111">
        <f t="shared" si="22"/>
        <v>27</v>
      </c>
    </row>
    <row r="112" spans="1:11" ht="12.75">
      <c r="A112">
        <v>3</v>
      </c>
      <c r="B112">
        <f aca="true" t="shared" si="23" ref="B112:K112">IF(B88&gt;0,IF(ISERROR(VLOOKUP(B88,$C$22:$G$31,B100,FALSE)),VLOOKUP(B88,$J$22:$N$31,B100,FALSE),VLOOKUP(B88,$C$22:$G$31,B100,FALSE)),"")</f>
        <v>40</v>
      </c>
      <c r="C112">
        <f t="shared" si="23"/>
        <v>20</v>
      </c>
      <c r="D112">
        <f t="shared" si="23"/>
        <v>54</v>
      </c>
      <c r="E112">
        <f t="shared" si="23"/>
        <v>20</v>
      </c>
      <c r="F112">
        <f t="shared" si="23"/>
      </c>
      <c r="G112">
        <f t="shared" si="23"/>
      </c>
      <c r="H112">
        <f t="shared" si="23"/>
        <v>37</v>
      </c>
      <c r="I112">
        <f t="shared" si="23"/>
        <v>20</v>
      </c>
      <c r="J112">
        <f t="shared" si="23"/>
        <v>74</v>
      </c>
      <c r="K112">
        <f t="shared" si="23"/>
        <v>20</v>
      </c>
    </row>
    <row r="113" spans="1:11" ht="12.75">
      <c r="A113">
        <v>3</v>
      </c>
      <c r="B113" t="str">
        <f aca="true" t="shared" si="24" ref="B113:K113">IF(B89&gt;0,IF(ISERROR(VLOOKUP(B89,$C$22:$G$31,B101,FALSE)),VLOOKUP(B89,$J$22:$N$31,B101,FALSE),VLOOKUP(B89,$C$22:$G$31,B101,FALSE)),"")</f>
        <v>2,00</v>
      </c>
      <c r="C113">
        <f t="shared" si="24"/>
        <v>7</v>
      </c>
      <c r="D113" t="str">
        <f t="shared" si="24"/>
        <v>2,70</v>
      </c>
      <c r="E113">
        <f t="shared" si="24"/>
        <v>7</v>
      </c>
      <c r="F113">
        <f t="shared" si="24"/>
      </c>
      <c r="G113">
        <f t="shared" si="24"/>
      </c>
      <c r="H113" t="str">
        <f t="shared" si="24"/>
        <v>1,85</v>
      </c>
      <c r="I113">
        <f t="shared" si="24"/>
        <v>7</v>
      </c>
      <c r="J113" t="str">
        <f t="shared" si="24"/>
        <v>3,70</v>
      </c>
      <c r="K113">
        <f t="shared" si="24"/>
        <v>16</v>
      </c>
    </row>
    <row r="114" spans="1:11" ht="12.75">
      <c r="A114">
        <v>4</v>
      </c>
      <c r="B114">
        <f aca="true" t="shared" si="25" ref="B114:K114">IF(B90&gt;0,IF(ISERROR(VLOOKUP(B90,$C$22:$G$31,B102,FALSE)),VLOOKUP(B90,$J$22:$N$31,B102,FALSE),VLOOKUP(B90,$C$22:$G$31,B102,FALSE)),"")</f>
        <v>6</v>
      </c>
      <c r="C114">
        <f t="shared" si="25"/>
        <v>20</v>
      </c>
      <c r="D114">
        <f t="shared" si="25"/>
        <v>5</v>
      </c>
      <c r="E114">
        <f t="shared" si="25"/>
        <v>20</v>
      </c>
      <c r="F114">
        <f t="shared" si="25"/>
        <v>6</v>
      </c>
      <c r="G114">
        <f t="shared" si="25"/>
        <v>20</v>
      </c>
      <c r="H114">
        <f t="shared" si="25"/>
      </c>
      <c r="I114">
        <f t="shared" si="25"/>
      </c>
      <c r="J114">
        <f t="shared" si="25"/>
        <v>3</v>
      </c>
      <c r="K114">
        <f t="shared" si="25"/>
        <v>20</v>
      </c>
    </row>
    <row r="115" spans="1:11" ht="12.75">
      <c r="A115">
        <v>4</v>
      </c>
      <c r="B115" t="str">
        <f aca="true" t="shared" si="26" ref="B115:K115">IF(B91&gt;0,IF(ISERROR(VLOOKUP(B91,$C$22:$G$31,B103,FALSE)),VLOOKUP(B91,$J$22:$N$31,B103,FALSE),VLOOKUP(B91,$C$22:$G$31,B103,FALSE)),"")</f>
        <v>0,30</v>
      </c>
      <c r="C115">
        <f t="shared" si="26"/>
        <v>3</v>
      </c>
      <c r="D115" t="str">
        <f t="shared" si="26"/>
        <v>0,25</v>
      </c>
      <c r="E115">
        <f t="shared" si="26"/>
        <v>1</v>
      </c>
      <c r="F115" t="str">
        <f t="shared" si="26"/>
        <v>0,30</v>
      </c>
      <c r="G115">
        <f t="shared" si="26"/>
        <v>2</v>
      </c>
      <c r="H115">
        <f t="shared" si="26"/>
      </c>
      <c r="I115">
        <f t="shared" si="26"/>
      </c>
      <c r="J115" t="str">
        <f t="shared" si="26"/>
        <v>0,15</v>
      </c>
      <c r="K115">
        <f t="shared" si="26"/>
        <v>1</v>
      </c>
    </row>
    <row r="116" spans="1:11" ht="12.75">
      <c r="A116">
        <v>5</v>
      </c>
      <c r="B116">
        <f aca="true" t="shared" si="27" ref="B116:K116">IF(B92&gt;0,IF(ISERROR(VLOOKUP(B92,$C$22:$G$31,B104,FALSE)),VLOOKUP(B92,$J$22:$N$31,B104,FALSE),VLOOKUP(B92,$C$22:$G$31,B104,FALSE)),"")</f>
        <v>18</v>
      </c>
      <c r="C116">
        <f t="shared" si="27"/>
        <v>20</v>
      </c>
      <c r="D116">
        <f t="shared" si="27"/>
        <v>22</v>
      </c>
      <c r="E116">
        <f t="shared" si="27"/>
        <v>20</v>
      </c>
      <c r="F116">
        <f t="shared" si="27"/>
        <v>18</v>
      </c>
      <c r="G116">
        <f t="shared" si="27"/>
        <v>20</v>
      </c>
      <c r="H116">
        <f t="shared" si="27"/>
        <v>21</v>
      </c>
      <c r="I116">
        <f t="shared" si="27"/>
        <v>20</v>
      </c>
      <c r="J116">
        <f t="shared" si="27"/>
      </c>
      <c r="K116">
        <f t="shared" si="27"/>
      </c>
    </row>
    <row r="117" spans="1:11" ht="12.75">
      <c r="A117">
        <v>5</v>
      </c>
      <c r="B117" t="str">
        <f aca="true" t="shared" si="28" ref="B117:K117">IF(B93&gt;0,IF(ISERROR(VLOOKUP(B93,$C$22:$G$31,B105,FALSE)),VLOOKUP(B93,$J$22:$N$31,B105,FALSE),VLOOKUP(B93,$C$22:$G$31,B105,FALSE)),"")</f>
        <v>0,90</v>
      </c>
      <c r="C117">
        <f t="shared" si="28"/>
        <v>4</v>
      </c>
      <c r="D117" t="str">
        <f t="shared" si="28"/>
        <v>1,10</v>
      </c>
      <c r="E117">
        <f t="shared" si="28"/>
        <v>5</v>
      </c>
      <c r="F117" t="str">
        <f t="shared" si="28"/>
        <v>0,90</v>
      </c>
      <c r="G117">
        <f t="shared" si="28"/>
        <v>5</v>
      </c>
      <c r="H117" t="str">
        <f t="shared" si="28"/>
        <v>1,05</v>
      </c>
      <c r="I117">
        <f t="shared" si="28"/>
        <v>4</v>
      </c>
      <c r="J117">
        <f t="shared" si="28"/>
      </c>
      <c r="K117">
        <f t="shared" si="28"/>
      </c>
    </row>
  </sheetData>
  <sheetProtection sheet="1" objects="1" scenarios="1"/>
  <mergeCells count="7">
    <mergeCell ref="C7:G7"/>
    <mergeCell ref="C9:G9"/>
    <mergeCell ref="C3:G3"/>
    <mergeCell ref="C5:G5"/>
    <mergeCell ref="C6:G6"/>
    <mergeCell ref="C4:D4"/>
    <mergeCell ref="E4:G4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2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5.140625" style="0" bestFit="1" customWidth="1"/>
    <col min="4" max="4" width="3.00390625" style="0" bestFit="1" customWidth="1"/>
    <col min="5" max="5" width="2.00390625" style="0" bestFit="1" customWidth="1"/>
  </cols>
  <sheetData>
    <row r="1" spans="1:5" ht="12.75">
      <c r="A1">
        <v>12</v>
      </c>
      <c r="B1">
        <f>SUMIF(Eingabe!C$22:C$31,A1,Eingabe!H$22:H$31)+SUMIF(Eingabe!J$22:J$31,A1,Eingabe!O$22:O$31)</f>
        <v>2</v>
      </c>
      <c r="C1" t="str">
        <f>CONCATENATE("Ell",A1)</f>
        <v>Ell12</v>
      </c>
      <c r="D1">
        <f>(A1-INT(A1/10)*10)*10+INT(A1/10)</f>
        <v>21</v>
      </c>
      <c r="E1">
        <f>SUMIF(Eingabe!C$22:C$31,D1,Eingabe!H$22:H$31)+SUMIF(Eingabe!J$22:J$31,D1,Eingabe!O$22:O$31)</f>
        <v>0</v>
      </c>
    </row>
    <row r="2" spans="1:5" ht="12.75">
      <c r="A2">
        <v>13</v>
      </c>
      <c r="B2">
        <f>SUMIF(Eingabe!C$22:C$31,A2,Eingabe!H$22:H$31)+SUMIF(Eingabe!J$22:J$31,A2,Eingabe!O$22:O$31)</f>
        <v>2</v>
      </c>
      <c r="C2" t="str">
        <f aca="true" t="shared" si="0" ref="C2:C20">CONCATENATE("Ell",A2)</f>
        <v>Ell13</v>
      </c>
      <c r="D2">
        <f aca="true" t="shared" si="1" ref="D2:D20">(A2-INT(A2/10)*10)*10+INT(A2/10)</f>
        <v>31</v>
      </c>
      <c r="E2">
        <f>SUMIF(Eingabe!C$22:C$31,D2,Eingabe!H$22:H$31)+SUMIF(Eingabe!J$22:J$31,D2,Eingabe!O$22:O$31)</f>
        <v>0</v>
      </c>
    </row>
    <row r="3" spans="1:5" ht="12.75">
      <c r="A3">
        <v>14</v>
      </c>
      <c r="B3">
        <f>SUMIF(Eingabe!C$22:C$31,A3,Eingabe!H$22:H$31)+SUMIF(Eingabe!J$22:J$31,A3,Eingabe!O$22:O$31)</f>
        <v>2</v>
      </c>
      <c r="C3" t="str">
        <f t="shared" si="0"/>
        <v>Ell14</v>
      </c>
      <c r="D3">
        <f t="shared" si="1"/>
        <v>41</v>
      </c>
      <c r="E3">
        <f>SUMIF(Eingabe!C$22:C$31,D3,Eingabe!H$22:H$31)+SUMIF(Eingabe!J$22:J$31,D3,Eingabe!O$22:O$31)</f>
        <v>0</v>
      </c>
    </row>
    <row r="4" spans="1:5" ht="12.75">
      <c r="A4">
        <v>15</v>
      </c>
      <c r="B4">
        <f>SUMIF(Eingabe!C$22:C$31,A4,Eingabe!H$22:H$31)+SUMIF(Eingabe!J$22:J$31,A4,Eingabe!O$22:O$31)</f>
        <v>2</v>
      </c>
      <c r="C4" t="str">
        <f t="shared" si="0"/>
        <v>Ell15</v>
      </c>
      <c r="D4">
        <f t="shared" si="1"/>
        <v>51</v>
      </c>
      <c r="E4">
        <f>SUMIF(Eingabe!C$22:C$31,D4,Eingabe!H$22:H$31)+SUMIF(Eingabe!J$22:J$31,D4,Eingabe!O$22:O$31)</f>
        <v>0</v>
      </c>
    </row>
    <row r="5" spans="1:5" ht="12.75">
      <c r="A5">
        <v>21</v>
      </c>
      <c r="B5">
        <f>SUMIF(Eingabe!C$22:C$31,A5,Eingabe!H$22:H$31)+SUMIF(Eingabe!J$22:J$31,A5,Eingabe!O$22:O$31)</f>
        <v>0</v>
      </c>
      <c r="C5" t="str">
        <f t="shared" si="0"/>
        <v>Ell21</v>
      </c>
      <c r="D5">
        <f t="shared" si="1"/>
        <v>12</v>
      </c>
      <c r="E5">
        <f>SUMIF(Eingabe!C$22:C$31,D5,Eingabe!H$22:H$31)+SUMIF(Eingabe!J$22:J$31,D5,Eingabe!O$22:O$31)</f>
        <v>2</v>
      </c>
    </row>
    <row r="6" spans="1:5" ht="12.75">
      <c r="A6">
        <v>23</v>
      </c>
      <c r="B6">
        <f>SUMIF(Eingabe!C$22:C$31,A6,Eingabe!H$22:H$31)+SUMIF(Eingabe!J$22:J$31,A6,Eingabe!O$22:O$31)</f>
        <v>2</v>
      </c>
      <c r="C6" t="str">
        <f t="shared" si="0"/>
        <v>Ell23</v>
      </c>
      <c r="D6">
        <f t="shared" si="1"/>
        <v>32</v>
      </c>
      <c r="E6">
        <f>SUMIF(Eingabe!C$22:C$31,D6,Eingabe!H$22:H$31)+SUMIF(Eingabe!J$22:J$31,D6,Eingabe!O$22:O$31)</f>
        <v>0</v>
      </c>
    </row>
    <row r="7" spans="1:5" ht="12.75">
      <c r="A7">
        <v>24</v>
      </c>
      <c r="B7">
        <f>SUMIF(Eingabe!C$22:C$31,A7,Eingabe!H$22:H$31)+SUMIF(Eingabe!J$22:J$31,A7,Eingabe!O$22:O$31)</f>
        <v>2</v>
      </c>
      <c r="C7" t="str">
        <f t="shared" si="0"/>
        <v>Ell24</v>
      </c>
      <c r="D7">
        <f t="shared" si="1"/>
        <v>42</v>
      </c>
      <c r="E7">
        <f>SUMIF(Eingabe!C$22:C$31,D7,Eingabe!H$22:H$31)+SUMIF(Eingabe!J$22:J$31,D7,Eingabe!O$22:O$31)</f>
        <v>0</v>
      </c>
    </row>
    <row r="8" spans="1:5" ht="12.75">
      <c r="A8">
        <v>25</v>
      </c>
      <c r="B8">
        <f>SUMIF(Eingabe!C$22:C$31,A8,Eingabe!H$22:H$31)+SUMIF(Eingabe!J$22:J$31,A8,Eingabe!O$22:O$31)</f>
        <v>2</v>
      </c>
      <c r="C8" t="str">
        <f t="shared" si="0"/>
        <v>Ell25</v>
      </c>
      <c r="D8">
        <f t="shared" si="1"/>
        <v>52</v>
      </c>
      <c r="E8">
        <f>SUMIF(Eingabe!C$22:C$31,D8,Eingabe!H$22:H$31)+SUMIF(Eingabe!J$22:J$31,D8,Eingabe!O$22:O$31)</f>
        <v>0</v>
      </c>
    </row>
    <row r="9" spans="1:5" ht="12.75">
      <c r="A9">
        <v>31</v>
      </c>
      <c r="B9">
        <f>SUMIF(Eingabe!C$22:C$31,A9,Eingabe!H$22:H$31)+SUMIF(Eingabe!J$22:J$31,A9,Eingabe!O$22:O$31)</f>
        <v>0</v>
      </c>
      <c r="C9" t="str">
        <f t="shared" si="0"/>
        <v>Ell31</v>
      </c>
      <c r="D9">
        <f t="shared" si="1"/>
        <v>13</v>
      </c>
      <c r="E9">
        <f>SUMIF(Eingabe!C$22:C$31,D9,Eingabe!H$22:H$31)+SUMIF(Eingabe!J$22:J$31,D9,Eingabe!O$22:O$31)</f>
        <v>2</v>
      </c>
    </row>
    <row r="10" spans="1:5" ht="12.75">
      <c r="A10">
        <v>32</v>
      </c>
      <c r="B10">
        <f>SUMIF(Eingabe!C$22:C$31,A10,Eingabe!H$22:H$31)+SUMIF(Eingabe!J$22:J$31,A10,Eingabe!O$22:O$31)</f>
        <v>0</v>
      </c>
      <c r="C10" t="str">
        <f t="shared" si="0"/>
        <v>Ell32</v>
      </c>
      <c r="D10">
        <f t="shared" si="1"/>
        <v>23</v>
      </c>
      <c r="E10">
        <f>SUMIF(Eingabe!C$22:C$31,D10,Eingabe!H$22:H$31)+SUMIF(Eingabe!J$22:J$31,D10,Eingabe!O$22:O$31)</f>
        <v>2</v>
      </c>
    </row>
    <row r="11" spans="1:5" ht="12.75">
      <c r="A11">
        <v>34</v>
      </c>
      <c r="B11">
        <f>SUMIF(Eingabe!C$22:C$31,A11,Eingabe!H$22:H$31)+SUMIF(Eingabe!J$22:J$31,A11,Eingabe!O$22:O$31)</f>
        <v>2</v>
      </c>
      <c r="C11" t="str">
        <f t="shared" si="0"/>
        <v>Ell34</v>
      </c>
      <c r="D11">
        <f t="shared" si="1"/>
        <v>43</v>
      </c>
      <c r="E11">
        <f>SUMIF(Eingabe!C$22:C$31,D11,Eingabe!H$22:H$31)+SUMIF(Eingabe!J$22:J$31,D11,Eingabe!O$22:O$31)</f>
        <v>0</v>
      </c>
    </row>
    <row r="12" spans="1:5" ht="12.75">
      <c r="A12">
        <v>35</v>
      </c>
      <c r="B12">
        <f>SUMIF(Eingabe!C$22:C$31,A12,Eingabe!H$22:H$31)+SUMIF(Eingabe!J$22:J$31,A12,Eingabe!O$22:O$31)</f>
        <v>2</v>
      </c>
      <c r="C12" t="str">
        <f t="shared" si="0"/>
        <v>Ell35</v>
      </c>
      <c r="D12">
        <f t="shared" si="1"/>
        <v>53</v>
      </c>
      <c r="E12">
        <f>SUMIF(Eingabe!C$22:C$31,D12,Eingabe!H$22:H$31)+SUMIF(Eingabe!J$22:J$31,D12,Eingabe!O$22:O$31)</f>
        <v>0</v>
      </c>
    </row>
    <row r="13" spans="1:5" ht="12.75">
      <c r="A13">
        <v>41</v>
      </c>
      <c r="B13">
        <f>SUMIF(Eingabe!C$22:C$31,A13,Eingabe!H$22:H$31)+SUMIF(Eingabe!J$22:J$31,A13,Eingabe!O$22:O$31)</f>
        <v>0</v>
      </c>
      <c r="C13" t="str">
        <f t="shared" si="0"/>
        <v>Ell41</v>
      </c>
      <c r="D13">
        <f t="shared" si="1"/>
        <v>14</v>
      </c>
      <c r="E13">
        <f>SUMIF(Eingabe!C$22:C$31,D13,Eingabe!H$22:H$31)+SUMIF(Eingabe!J$22:J$31,D13,Eingabe!O$22:O$31)</f>
        <v>2</v>
      </c>
    </row>
    <row r="14" spans="1:5" ht="12.75">
      <c r="A14">
        <v>42</v>
      </c>
      <c r="B14">
        <f>SUMIF(Eingabe!C$22:C$31,A14,Eingabe!H$22:H$31)+SUMIF(Eingabe!J$22:J$31,A14,Eingabe!O$22:O$31)</f>
        <v>0</v>
      </c>
      <c r="C14" t="str">
        <f t="shared" si="0"/>
        <v>Ell42</v>
      </c>
      <c r="D14">
        <f t="shared" si="1"/>
        <v>24</v>
      </c>
      <c r="E14">
        <f>SUMIF(Eingabe!C$22:C$31,D14,Eingabe!H$22:H$31)+SUMIF(Eingabe!J$22:J$31,D14,Eingabe!O$22:O$31)</f>
        <v>2</v>
      </c>
    </row>
    <row r="15" spans="1:5" ht="12.75">
      <c r="A15">
        <v>43</v>
      </c>
      <c r="B15">
        <f>SUMIF(Eingabe!C$22:C$31,A15,Eingabe!H$22:H$31)+SUMIF(Eingabe!J$22:J$31,A15,Eingabe!O$22:O$31)</f>
        <v>0</v>
      </c>
      <c r="C15" t="str">
        <f t="shared" si="0"/>
        <v>Ell43</v>
      </c>
      <c r="D15">
        <f t="shared" si="1"/>
        <v>34</v>
      </c>
      <c r="E15">
        <f>SUMIF(Eingabe!C$22:C$31,D15,Eingabe!H$22:H$31)+SUMIF(Eingabe!J$22:J$31,D15,Eingabe!O$22:O$31)</f>
        <v>2</v>
      </c>
    </row>
    <row r="16" spans="1:5" ht="12.75">
      <c r="A16">
        <v>45</v>
      </c>
      <c r="B16">
        <f>SUMIF(Eingabe!C$22:C$31,A16,Eingabe!H$22:H$31)+SUMIF(Eingabe!J$22:J$31,A16,Eingabe!O$22:O$31)</f>
        <v>0</v>
      </c>
      <c r="C16" t="str">
        <f t="shared" si="0"/>
        <v>Ell45</v>
      </c>
      <c r="D16">
        <f t="shared" si="1"/>
        <v>54</v>
      </c>
      <c r="E16">
        <f>SUMIF(Eingabe!C$22:C$31,D16,Eingabe!H$22:H$31)+SUMIF(Eingabe!J$22:J$31,D16,Eingabe!O$22:O$31)</f>
        <v>2</v>
      </c>
    </row>
    <row r="17" spans="1:5" ht="12.75">
      <c r="A17">
        <v>51</v>
      </c>
      <c r="B17">
        <f>SUMIF(Eingabe!C$22:C$31,A17,Eingabe!H$22:H$31)+SUMIF(Eingabe!J$22:J$31,A17,Eingabe!O$22:O$31)</f>
        <v>0</v>
      </c>
      <c r="C17" t="str">
        <f t="shared" si="0"/>
        <v>Ell51</v>
      </c>
      <c r="D17">
        <f t="shared" si="1"/>
        <v>15</v>
      </c>
      <c r="E17">
        <f>SUMIF(Eingabe!C$22:C$31,D17,Eingabe!H$22:H$31)+SUMIF(Eingabe!J$22:J$31,D17,Eingabe!O$22:O$31)</f>
        <v>2</v>
      </c>
    </row>
    <row r="18" spans="1:5" ht="12.75">
      <c r="A18">
        <v>52</v>
      </c>
      <c r="B18">
        <f>SUMIF(Eingabe!C$22:C$31,A18,Eingabe!H$22:H$31)+SUMIF(Eingabe!J$22:J$31,A18,Eingabe!O$22:O$31)</f>
        <v>0</v>
      </c>
      <c r="C18" t="str">
        <f t="shared" si="0"/>
        <v>Ell52</v>
      </c>
      <c r="D18">
        <f t="shared" si="1"/>
        <v>25</v>
      </c>
      <c r="E18">
        <f>SUMIF(Eingabe!C$22:C$31,D18,Eingabe!H$22:H$31)+SUMIF(Eingabe!J$22:J$31,D18,Eingabe!O$22:O$31)</f>
        <v>2</v>
      </c>
    </row>
    <row r="19" spans="1:5" ht="12.75">
      <c r="A19">
        <v>53</v>
      </c>
      <c r="B19">
        <f>SUMIF(Eingabe!C$22:C$31,A19,Eingabe!H$22:H$31)+SUMIF(Eingabe!J$22:J$31,A19,Eingabe!O$22:O$31)</f>
        <v>0</v>
      </c>
      <c r="C19" t="str">
        <f t="shared" si="0"/>
        <v>Ell53</v>
      </c>
      <c r="D19">
        <f t="shared" si="1"/>
        <v>35</v>
      </c>
      <c r="E19">
        <f>SUMIF(Eingabe!C$22:C$31,D19,Eingabe!H$22:H$31)+SUMIF(Eingabe!J$22:J$31,D19,Eingabe!O$22:O$31)</f>
        <v>2</v>
      </c>
    </row>
    <row r="20" spans="1:5" ht="12.75">
      <c r="A20">
        <v>54</v>
      </c>
      <c r="B20">
        <f>SUMIF(Eingabe!C$22:C$31,A20,Eingabe!H$22:H$31)+SUMIF(Eingabe!J$22:J$31,A20,Eingabe!O$22:O$31)</f>
        <v>2</v>
      </c>
      <c r="C20" t="str">
        <f t="shared" si="0"/>
        <v>Ell54</v>
      </c>
      <c r="D20">
        <f t="shared" si="1"/>
        <v>45</v>
      </c>
      <c r="E20">
        <f>SUMIF(Eingabe!C$22:C$31,D20,Eingabe!H$22:H$31)+SUMIF(Eingabe!J$22:J$31,D20,Eingabe!O$22:O$31)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Admin</cp:lastModifiedBy>
  <cp:lastPrinted>2009-11-29T15:39:48Z</cp:lastPrinted>
  <dcterms:created xsi:type="dcterms:W3CDTF">2002-06-12T09:57:26Z</dcterms:created>
  <dcterms:modified xsi:type="dcterms:W3CDTF">2009-11-29T15:40:58Z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-879373701</vt:i4>
  </property>
  <property fmtid="{D5CDD505-2E9C-101B-9397-08002B2CF9AE}" pid="3" name="_EmailSubject">
    <vt:lpwstr>Ergebnisse / Tabellen / Formulare</vt:lpwstr>
  </property>
  <property fmtid="{D5CDD505-2E9C-101B-9397-08002B2CF9AE}" pid="4" name="_AuthorEmail">
    <vt:lpwstr>manfred.fr@t-online.de</vt:lpwstr>
  </property>
  <property fmtid="{D5CDD505-2E9C-101B-9397-08002B2CF9AE}" pid="5" name="_AuthorEmailDisplayName">
    <vt:lpwstr>Manfred Franke</vt:lpwstr>
  </property>
  <property fmtid="{D5CDD505-2E9C-101B-9397-08002B2CF9AE}" pid="6" name="_ReviewingToolsShownOnce">
    <vt:lpwstr/>
  </property>
</Properties>
</file>